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E:\05 华软2019年审\2019个别报表-20200225\"/>
    </mc:Choice>
  </mc:AlternateContent>
  <bookViews>
    <workbookView xWindow="-20" yWindow="-20" windowWidth="7830" windowHeight="7700" firstSheet="6" activeTab="20"/>
  </bookViews>
  <sheets>
    <sheet name="STATPARA" sheetId="19" state="veryHidden" r:id="rId1"/>
    <sheet name="Lead" sheetId="4" r:id="rId2"/>
    <sheet name="Checks" sheetId="46" r:id="rId3"/>
    <sheet name="preBS" sheetId="7" r:id="rId4"/>
    <sheet name="preIS" sheetId="21" r:id="rId5"/>
    <sheet name="preCF" sheetId="8" r:id="rId6"/>
    <sheet name="preCE" sheetId="2" r:id="rId7"/>
    <sheet name="BS" sheetId="72" r:id="rId8"/>
    <sheet name="IS" sheetId="73" r:id="rId9"/>
    <sheet name="CF" sheetId="74" r:id="rId10"/>
    <sheet name="CE" sheetId="75" r:id="rId11"/>
    <sheet name="TB" sheetId="5" r:id="rId12"/>
    <sheet name="AJE" sheetId="6" r:id="rId13"/>
    <sheet name="CFJE" sheetId="13" state="hidden" r:id="rId14"/>
    <sheet name="UJE" sheetId="11" state="hidden" r:id="rId15"/>
    <sheet name="AJE1" sheetId="12" state="hidden" r:id="rId16"/>
    <sheet name="BalanceSheet" sheetId="68" state="veryHidden" r:id="rId17"/>
    <sheet name="IncomeStatement" sheetId="69" state="veryHidden" r:id="rId18"/>
    <sheet name="CashFlow" sheetId="70" state="veryHidden" r:id="rId19"/>
    <sheet name="OwnersEquity" sheetId="71" state="veryHidden" r:id="rId20"/>
    <sheet name="noteChecks" sheetId="50"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12" hidden="1">AJE!$A$8:$AE$38</definedName>
    <definedName name="_xlnm._FilterDatabase" localSheetId="15" hidden="1">'AJE1'!$A$8:$AE$38</definedName>
    <definedName name="_xlnm._FilterDatabase" localSheetId="13" hidden="1">CFJE!$B$8:$Q$41</definedName>
    <definedName name="_xlnm._FilterDatabase" localSheetId="20" hidden="1">noteChecks!$B$8:$Y$408</definedName>
    <definedName name="_xlnm._FilterDatabase" localSheetId="21" hidden="1">Notes!$Z$1:$AE$6252</definedName>
    <definedName name="_xlnm._FilterDatabase" localSheetId="0" hidden="1">STATPARA!$M$1:$X$468</definedName>
    <definedName name="_xlnm._FilterDatabase" localSheetId="14"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12">AJE!A1048576</definedName>
    <definedName name="cellAbove" localSheetId="15">'AJE1'!A1048576</definedName>
    <definedName name="cellAbove" localSheetId="13">CFJE!A1048576</definedName>
    <definedName name="cellAbove" localSheetId="14">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Notes!$K$5208</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Notes!$K$5194</definedName>
    <definedName name="CheckA1999" localSheetId="16" hidden="1">BalanceSheet!$G$59</definedName>
    <definedName name="CheckA1999" localSheetId="7" hidden="1">BS!$G$50</definedName>
    <definedName name="CheckA1999" localSheetId="3"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6" hidden="1">BalanceSheet!$K$47</definedName>
    <definedName name="CheckA4001" localSheetId="7" hidden="1">BS!$K$38</definedName>
    <definedName name="CheckA4001" localSheetId="3" hidden="1">preBS!$K$54</definedName>
    <definedName name="CheckA4001a" localSheetId="21" hidden="1">Notes!$K$4308</definedName>
    <definedName name="CheckA4001b" localSheetId="21" hidden="1">Notes!$K$4317</definedName>
    <definedName name="CheckA4002" localSheetId="16" hidden="1">BalanceSheet!$K$51</definedName>
    <definedName name="CheckA4002" localSheetId="7" hidden="1">BS!$K$42</definedName>
    <definedName name="CheckA4002" localSheetId="3" hidden="1">preBS!$K$58</definedName>
    <definedName name="CheckA4002a" localSheetId="21" hidden="1">Notes!$K$4351</definedName>
    <definedName name="CheckA4015" localSheetId="16" hidden="1">BalanceSheet!$K$48</definedName>
    <definedName name="CheckA4015" localSheetId="7" hidden="1">BS!$K$39</definedName>
    <definedName name="CheckA4015" localSheetId="3" hidden="1">preBS!$K$55</definedName>
    <definedName name="CheckA4015a" localSheetId="21" hidden="1">Notes!$K$4340</definedName>
    <definedName name="CheckA4015b" localSheetId="21" hidden="1">Notes!$K$4330</definedName>
    <definedName name="CheckA4101" localSheetId="16" hidden="1">BalanceSheet!$K$55</definedName>
    <definedName name="CheckA4101" localSheetId="7" hidden="1">BS!$K$46</definedName>
    <definedName name="CheckA4101" localSheetId="3" hidden="1">preBS!$K$62</definedName>
    <definedName name="CheckA4101a" localSheetId="21" hidden="1">Notes!$K$4437</definedName>
    <definedName name="CheckA4101b" localSheetId="21" hidden="1">Notes!$K$4424</definedName>
    <definedName name="CheckA4102" localSheetId="16" hidden="1">BalanceSheet!$K$56</definedName>
    <definedName name="CheckA4102" localSheetId="7" hidden="1">BS!$K$47</definedName>
    <definedName name="CheckA4102" localSheetId="3" hidden="1">preBS!$K$63</definedName>
    <definedName name="CheckA4102a" localSheetId="21" hidden="1">Notes!$K$4449</definedName>
    <definedName name="CheckA4200" localSheetId="16" hidden="1">BalanceSheet!$K$57</definedName>
    <definedName name="CheckA4200" localSheetId="7" hidden="1">BS!$K$48</definedName>
    <definedName name="CheckA4200" localSheetId="3" hidden="1">preBS!$K$64</definedName>
    <definedName name="CheckA4200a" localSheetId="21" hidden="1">Notes!$K$4457</definedName>
    <definedName name="CheckA4200b" localSheetId="21" hidden="1">Notes!$K$4474</definedName>
    <definedName name="CheckA4201" localSheetId="16" hidden="1">BalanceSheet!$K$52</definedName>
    <definedName name="CheckA4201" localSheetId="7" hidden="1">BS!$K$43</definedName>
    <definedName name="CheckA4201" localSheetId="3" hidden="1">preBS!$K$59</definedName>
    <definedName name="CheckA4201a" localSheetId="21" hidden="1">Notes!$K$4360</definedName>
    <definedName name="CheckA4215" localSheetId="16" hidden="1">BalanceSheet!$K$53</definedName>
    <definedName name="CheckA4215" localSheetId="7" hidden="1">BS!$K$44</definedName>
    <definedName name="CheckA4215" localSheetId="3" hidden="1">preBS!$K$60</definedName>
    <definedName name="CheckA4215a" localSheetId="21" hidden="1">Notes!$K$4392</definedName>
    <definedName name="CheckA4215b" localSheetId="21" hidden="1">Notes!$K$4367</definedName>
    <definedName name="CheckA4298" localSheetId="3" hidden="1">preBS!$K$65</definedName>
    <definedName name="CheckA4301" localSheetId="16" hidden="1">BalanceSheet!$K$54</definedName>
    <definedName name="CheckA4301" localSheetId="7" hidden="1">BS!$K$45</definedName>
    <definedName name="CheckA4301" localSheetId="3" hidden="1">preBS!$K$61</definedName>
    <definedName name="CheckA4301a" localSheetId="21" hidden="1">Notes!$K$4413</definedName>
    <definedName name="CheckA4398" localSheetId="3" hidden="1">preBS!$K$66</definedName>
    <definedName name="CheckA4999" localSheetId="16" hidden="1">BalanceSheet!$K$58</definedName>
    <definedName name="CheckA4999" localSheetId="7" hidden="1">BS!$K$49</definedName>
    <definedName name="CheckA4999" localSheetId="3" hidden="1">preBS!$K$67</definedName>
    <definedName name="CheckA5000" localSheetId="16" hidden="1">BalanceSheet!$K$59</definedName>
    <definedName name="CheckA5000" localSheetId="7" hidden="1">BS!$K$50</definedName>
    <definedName name="CheckA5000" localSheetId="3"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Notes!$K$4848</definedName>
    <definedName name="CheckA6101b" localSheetId="21" hidden="1">Notes!$K$4835</definedName>
    <definedName name="CheckA6102a" localSheetId="21" hidden="1">Notes!$K$4821</definedName>
    <definedName name="CheckA6111a" localSheetId="21" hidden="1">Notes!$K$4799</definedName>
    <definedName name="CheckA6171a" localSheetId="21" hidden="1">Notes!$K$4898</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Notes!$K$4876</definedName>
    <definedName name="CheckA6672a" localSheetId="21" hidden="1">Notes!$K$4862</definedName>
    <definedName name="CheckA6710a" localSheetId="21" hidden="1">Notes!$K$4913</definedName>
    <definedName name="CheckA6710b" localSheetId="21" hidden="1">Notes!$K$4926</definedName>
    <definedName name="CheckA6711a" localSheetId="21" hidden="1">Notes!$K$4944</definedName>
    <definedName name="CheckA6791a" localSheetId="21" hidden="1">Notes!$K$4957</definedName>
    <definedName name="CheckA6791b" localSheetId="21" hidden="1">Notes!$K$4965</definedName>
    <definedName name="CheckA6799" localSheetId="17" hidden="1">IncomeStatement!$E$43</definedName>
    <definedName name="CheckA6799" localSheetId="8" hidden="1">IS!$E$30</definedName>
    <definedName name="CheckA6799" localSheetId="4" hidden="1">preIS!$E$45</definedName>
    <definedName name="CheckA6811" localSheetId="4" hidden="1">preIS!$E$50</definedName>
    <definedName name="CheckA6812" localSheetId="4" hidden="1">preIS!$E$51</definedName>
    <definedName name="CheckA6829" localSheetId="17" hidden="1">IncomeStatement!$E$46</definedName>
    <definedName name="CheckA6829" localSheetId="8" hidden="1">IS!$E$33</definedName>
    <definedName name="CheckA6829" localSheetId="4" hidden="1">preIS!$E$52</definedName>
    <definedName name="CheckA6839" localSheetId="17" hidden="1">IncomeStatement!$E$65</definedName>
    <definedName name="CheckA6839" localSheetId="8" hidden="1">IS!$E$52</definedName>
    <definedName name="CheckA6839" localSheetId="4" hidden="1">preIS!$E$74</definedName>
    <definedName name="CheckA6841" localSheetId="4" hidden="1">preIS!$E$75</definedName>
    <definedName name="CheckA6842" localSheetId="4" hidden="1">preIS!$E$76</definedName>
    <definedName name="CheckA7001x" localSheetId="21" hidden="1">Notes!$K$5868</definedName>
    <definedName name="CheckA7046a" localSheetId="21" hidden="1">Notes!$K$5020</definedName>
    <definedName name="CheckA7046x" localSheetId="21" hidden="1">Notes!$K$5879</definedName>
    <definedName name="CheckA7051x" localSheetId="21" hidden="1">Notes!$K$5890</definedName>
    <definedName name="CheckA7061x" localSheetId="21" hidden="1">Notes!$K$5901</definedName>
    <definedName name="CheckA7071x" localSheetId="21" hidden="1">Notes!$K$5912</definedName>
    <definedName name="CheckA7096a" localSheetId="21" hidden="1">Notes!$K$5036</definedName>
    <definedName name="CheckA7096x" localSheetId="21" hidden="1">Notes!$K$5923</definedName>
    <definedName name="CheckA7099" localSheetId="18" hidden="1">CashFlow!$E$33</definedName>
    <definedName name="CheckA7099" localSheetId="9" hidden="1">CF!$E$17</definedName>
    <definedName name="CheckA7099" localSheetId="5" hidden="1">preCF!$E$35</definedName>
    <definedName name="CheckA7101x" localSheetId="21" hidden="1">Notes!$K$5934</definedName>
    <definedName name="CheckA7105x" localSheetId="21" hidden="1">Notes!$K$5945</definedName>
    <definedName name="CheckA7111x" localSheetId="21" hidden="1">Notes!$K$5956</definedName>
    <definedName name="CheckA7146a" localSheetId="21" hidden="1">Notes!$K$5052</definedName>
    <definedName name="CheckA7151x" localSheetId="21" hidden="1">Notes!$K$5975</definedName>
    <definedName name="CheckA7161x" localSheetId="21" hidden="1">Notes!$K$5996</definedName>
    <definedName name="CheckA7196a" localSheetId="21" hidden="1">Notes!$K$5063</definedName>
    <definedName name="CheckA7211x" localSheetId="21" hidden="1">Notes!$K$6007</definedName>
    <definedName name="CheckA7246a" localSheetId="21" hidden="1">Notes!$K$5074</definedName>
    <definedName name="CheckA7251x" localSheetId="21" hidden="1">Notes!$K$6019</definedName>
    <definedName name="CheckA7261x" localSheetId="21" hidden="1">Notes!$K$6031</definedName>
    <definedName name="CheckA7296a" localSheetId="21" hidden="1">Notes!$K$5085</definedName>
    <definedName name="CheckA7348" localSheetId="18" hidden="1">CashFlow!$E$59</definedName>
    <definedName name="CheckA7348" localSheetId="9" hidden="1">CF!$E$42</definedName>
    <definedName name="CheckA7348" localSheetId="5" hidden="1">preCF!$E$63</definedName>
    <definedName name="CheckA7349" localSheetId="18" hidden="1">CashFlow!$E$60</definedName>
    <definedName name="CheckA7349" localSheetId="9" hidden="1">CF!$E$43</definedName>
    <definedName name="CheckA7349" localSheetId="5" hidden="1">preCF!$E$64</definedName>
    <definedName name="CheckA7399" localSheetId="18" hidden="1">CashFlow!$E$61</definedName>
    <definedName name="CheckA7399" localSheetId="9" hidden="1">CF!$E$44</definedName>
    <definedName name="CheckA7399" localSheetId="5" hidden="1">preCF!$E$65</definedName>
    <definedName name="CheckA7500a" localSheetId="21" hidden="1">Notes!$K$5096</definedName>
    <definedName name="CheckA7500b" localSheetId="21" hidden="1">Notes!$K$5119</definedName>
    <definedName name="CheckA7500c" localSheetId="21" hidden="1">Notes!$K$5127</definedName>
    <definedName name="CheckA7500e" localSheetId="21" hidden="1">Notes!$K$5156</definedName>
    <definedName name="CheckA7500f" localSheetId="21" hidden="1">Notes!$K$5172</definedName>
    <definedName name="CheckA7500g" localSheetId="21" hidden="1">Notes!$K$5136</definedName>
    <definedName name="CheckA7500h" localSheetId="21" hidden="1">Notes!$K$5146</definedName>
    <definedName name="CheckA7502" localSheetId="18" hidden="1">CashFlow!$E$68</definedName>
    <definedName name="CheckA7502" localSheetId="9" hidden="1">CF!$E$51</definedName>
    <definedName name="CheckA7502" localSheetId="5" hidden="1">preCF!$E$71</definedName>
    <definedName name="CheckA7503a" localSheetId="21" hidden="1">Notes!$K$6054</definedName>
    <definedName name="CheckA7505a" localSheetId="21" hidden="1">Notes!$K$6063</definedName>
    <definedName name="CheckA7506a" localSheetId="21" hidden="1">Notes!$K$6074</definedName>
    <definedName name="CheckA7507a" localSheetId="21" hidden="1">Notes!$K$6083</definedName>
    <definedName name="CheckA7508a" localSheetId="21" hidden="1">Notes!$K$6092</definedName>
    <definedName name="CheckA7509a" localSheetId="21" hidden="1">Notes!$K$6106</definedName>
    <definedName name="CheckA7510a" localSheetId="21" hidden="1">Notes!$K$6116</definedName>
    <definedName name="CheckA7511a" localSheetId="21" hidden="1">Notes!$K$6125</definedName>
    <definedName name="CheckA7512a" localSheetId="21" hidden="1">Notes!$K$6136</definedName>
    <definedName name="CheckA7515a" localSheetId="21" hidden="1">Notes!$K$6145</definedName>
    <definedName name="CheckA7516a" localSheetId="21" hidden="1">Notes!$K$6154</definedName>
    <definedName name="CheckA7517a" localSheetId="21" hidden="1">Notes!$K$6163</definedName>
    <definedName name="CheckA7518a" localSheetId="21" hidden="1">Notes!$K$6185</definedName>
    <definedName name="CheckA7519a" localSheetId="21" hidden="1">Notes!$K$6212</definedName>
    <definedName name="CheckA7523a" localSheetId="21" hidden="1">Notes!$K$6241</definedName>
    <definedName name="CheckA7525" localSheetId="18" hidden="1">CashFlow!$E$85</definedName>
    <definedName name="CheckA7525" localSheetId="9" hidden="1">CF!$E$68</definedName>
    <definedName name="CheckA7525" localSheetId="5" hidden="1">preCF!$E$88</definedName>
    <definedName name="CheckA7539" localSheetId="18" hidden="1">CashFlow!$E$95</definedName>
    <definedName name="CheckA7539" localSheetId="9" hidden="1">CF!$E$78</definedName>
    <definedName name="CheckA7539" localSheetId="5" hidden="1">preCF!$E$98</definedName>
    <definedName name="CheckA8001" localSheetId="10" hidden="1">CE!$P$9</definedName>
    <definedName name="CheckA8001" localSheetId="19" hidden="1">OwnersEquity!$P$9</definedName>
    <definedName name="CheckA8001" localSheetId="6" hidden="1">preCE!$Q$9</definedName>
    <definedName name="CheckA8010" localSheetId="10" hidden="1">CE!$P$13</definedName>
    <definedName name="CheckA8010" localSheetId="19" hidden="1">OwnersEquity!$P$13</definedName>
    <definedName name="CheckA8010" localSheetId="6" hidden="1">preCE!$Q$14</definedName>
    <definedName name="CheckA8040" localSheetId="10" hidden="1">CE!$P$15</definedName>
    <definedName name="CheckA8040" localSheetId="19" hidden="1">OwnersEquity!$P$15</definedName>
    <definedName name="CheckA8040" localSheetId="6" hidden="1">preCE!$Q$18</definedName>
    <definedName name="CheckA8099" localSheetId="10" hidden="1">CE!$P$36</definedName>
    <definedName name="CheckA8099" localSheetId="19" hidden="1">OwnersEquity!$P$37</definedName>
    <definedName name="CheckA8099" localSheetId="6" hidden="1">preCE!$Q$40</definedName>
    <definedName name="CheckA8101" localSheetId="10" hidden="1">CE!$D$9</definedName>
    <definedName name="CheckA8101" localSheetId="19" hidden="1">OwnersEquity!$D$9</definedName>
    <definedName name="CheckA8101" localSheetId="6" hidden="1">preCE!$D$9</definedName>
    <definedName name="CheckA8110" localSheetId="10" hidden="1">CE!$D$13</definedName>
    <definedName name="CheckA8110" localSheetId="19" hidden="1">OwnersEquity!$D$13</definedName>
    <definedName name="CheckA8110" localSheetId="6" hidden="1">preCE!$D$14</definedName>
    <definedName name="CheckA8199" localSheetId="10" hidden="1">CE!$D$36</definedName>
    <definedName name="CheckA8199" localSheetId="19" hidden="1">OwnersEquity!$D$37</definedName>
    <definedName name="CheckA8199" localSheetId="6" hidden="1">preCE!$D$40</definedName>
    <definedName name="CheckA8201" localSheetId="10" hidden="1">CE!$H$9</definedName>
    <definedName name="CheckA8201" localSheetId="19" hidden="1">OwnersEquity!$H$9</definedName>
    <definedName name="CheckA8201" localSheetId="6" hidden="1">preCE!$H$9</definedName>
    <definedName name="CheckA8210" localSheetId="10" hidden="1">CE!$H$13</definedName>
    <definedName name="CheckA8210" localSheetId="19" hidden="1">OwnersEquity!$H$13</definedName>
    <definedName name="CheckA8210" localSheetId="6" hidden="1">preCE!$H$14</definedName>
    <definedName name="CheckA8299" localSheetId="10" hidden="1">CE!$H$36</definedName>
    <definedName name="CheckA8299" localSheetId="19" hidden="1">OwnersEquity!$H$37</definedName>
    <definedName name="CheckA8299" localSheetId="6" hidden="1">preCE!$H$40</definedName>
    <definedName name="CheckA8301" localSheetId="10" hidden="1">CE!$I$9</definedName>
    <definedName name="CheckA8301" localSheetId="19" hidden="1">OwnersEquity!$I$9</definedName>
    <definedName name="CheckA8301" localSheetId="6" hidden="1">preCE!$I$9</definedName>
    <definedName name="CheckA8310" localSheetId="10" hidden="1">CE!$I$13</definedName>
    <definedName name="CheckA8310" localSheetId="19" hidden="1">OwnersEquity!$I$13</definedName>
    <definedName name="CheckA8310" localSheetId="6" hidden="1">preCE!$I$14</definedName>
    <definedName name="CheckA8399" localSheetId="10" hidden="1">CE!$I$36</definedName>
    <definedName name="CheckA8399" localSheetId="19" hidden="1">OwnersEquity!$I$37</definedName>
    <definedName name="CheckA8399" localSheetId="6" hidden="1">preCE!$I$40</definedName>
    <definedName name="CheckA8401" localSheetId="10" hidden="1">CE!$K$9</definedName>
    <definedName name="CheckA8401" localSheetId="19" hidden="1">OwnersEquity!$K$9</definedName>
    <definedName name="CheckA8401" localSheetId="6" hidden="1">preCE!$K$9</definedName>
    <definedName name="CheckA8410" localSheetId="10" hidden="1">CE!$K$13</definedName>
    <definedName name="CheckA8410" localSheetId="19" hidden="1">OwnersEquity!$K$13</definedName>
    <definedName name="CheckA8410" localSheetId="6" hidden="1">preCE!$K$14</definedName>
    <definedName name="CheckA8499" localSheetId="10" hidden="1">CE!$K$36</definedName>
    <definedName name="CheckA8499" localSheetId="19" hidden="1">OwnersEquity!$K$37</definedName>
    <definedName name="CheckA8499" localSheetId="6" hidden="1">preCE!$K$40</definedName>
    <definedName name="CheckA8501" localSheetId="10" hidden="1">CE!$L$9</definedName>
    <definedName name="CheckA8501" localSheetId="19" hidden="1">OwnersEquity!$L$9</definedName>
    <definedName name="CheckA8501" localSheetId="6" hidden="1">preCE!$L$9</definedName>
    <definedName name="CheckA8510" localSheetId="10" hidden="1">CE!$L$13</definedName>
    <definedName name="CheckA8510" localSheetId="19" hidden="1">OwnersEquity!$L$13</definedName>
    <definedName name="CheckA8510" localSheetId="6" hidden="1">preCE!$L$14</definedName>
    <definedName name="CheckA8599" localSheetId="10" hidden="1">CE!$L$36</definedName>
    <definedName name="CheckA8599" localSheetId="19" hidden="1">OwnersEquity!$L$37</definedName>
    <definedName name="CheckA8599" localSheetId="6" hidden="1">preCE!$L$40</definedName>
    <definedName name="CheckA8601" localSheetId="19" hidden="1">OwnersEquity!$M$9</definedName>
    <definedName name="CheckA8601" localSheetId="6" hidden="1">preCE!$M$9</definedName>
    <definedName name="CheckA8610" localSheetId="19" hidden="1">OwnersEquity!$M$13</definedName>
    <definedName name="CheckA8610" localSheetId="6" hidden="1">preCE!$M$14</definedName>
    <definedName name="CheckA8699" localSheetId="10" hidden="1">CE!$M$36</definedName>
    <definedName name="CheckA8699" localSheetId="19" hidden="1">OwnersEquity!$M$37</definedName>
    <definedName name="CheckA8699" localSheetId="6" hidden="1">preCE!$M$40</definedName>
    <definedName name="CheckA8701" localSheetId="10" hidden="1">CE!$N$9</definedName>
    <definedName name="CheckA8701" localSheetId="19" hidden="1">OwnersEquity!$N$9</definedName>
    <definedName name="CheckA8701" localSheetId="6" hidden="1">preCE!$N$9</definedName>
    <definedName name="CheckA8710" localSheetId="10" hidden="1">CE!$N$13</definedName>
    <definedName name="CheckA8710" localSheetId="19" hidden="1">OwnersEquity!$N$13</definedName>
    <definedName name="CheckA8710" localSheetId="6" hidden="1">preCE!$N$14</definedName>
    <definedName name="CheckA8740" localSheetId="10" hidden="1">CE!$N$15</definedName>
    <definedName name="CheckA8740" localSheetId="19" hidden="1">OwnersEquity!$N$15</definedName>
    <definedName name="CheckA8740" localSheetId="6" hidden="1">preCE!$N$18</definedName>
    <definedName name="CheckA8799" localSheetId="10" hidden="1">CE!$N$36</definedName>
    <definedName name="CheckA8799" localSheetId="19" hidden="1">OwnersEquity!$N$37</definedName>
    <definedName name="CheckA8799" localSheetId="6" hidden="1">preCE!$N$40</definedName>
    <definedName name="CheckA8801" localSheetId="10" hidden="1">CE!$O$9</definedName>
    <definedName name="CheckA8801" localSheetId="19" hidden="1">OwnersEquity!$O$9</definedName>
    <definedName name="CheckA8801" localSheetId="6" hidden="1">preCE!$O$9</definedName>
    <definedName name="CheckA8810" localSheetId="10" hidden="1">CE!$O$13</definedName>
    <definedName name="CheckA8810" localSheetId="19" hidden="1">OwnersEquity!$O$13</definedName>
    <definedName name="CheckA8810" localSheetId="6" hidden="1">preCE!$O$14</definedName>
    <definedName name="CheckA8899" localSheetId="10" hidden="1">CE!$O$36</definedName>
    <definedName name="CheckA8899" localSheetId="19" hidden="1">OwnersEquity!$O$37</definedName>
    <definedName name="CheckA8899" localSheetId="6" hidden="1">preCE!$O$40</definedName>
    <definedName name="CheckA8901" localSheetId="6" hidden="1">preCE!$P$9</definedName>
    <definedName name="CheckA8910" localSheetId="6" hidden="1">preCE!$P$14</definedName>
    <definedName name="CheckA8940" localSheetId="6" hidden="1">preCE!$P$18</definedName>
    <definedName name="CheckA8999" localSheetId="6" hidden="1">preCE!$P$40</definedName>
    <definedName name="CheckA8b01" localSheetId="10" hidden="1">CE!$E$9</definedName>
    <definedName name="CheckA8b01" localSheetId="19" hidden="1">OwnersEquity!$E$9</definedName>
    <definedName name="CheckA8b01" localSheetId="6" hidden="1">preCE!$E$9</definedName>
    <definedName name="CheckA8b10" localSheetId="10" hidden="1">CE!$E$13</definedName>
    <definedName name="CheckA8b10" localSheetId="19" hidden="1">OwnersEquity!$E$13</definedName>
    <definedName name="CheckA8b10" localSheetId="6" hidden="1">preCE!$E$14</definedName>
    <definedName name="CheckA8b99" localSheetId="10" hidden="1">CE!$E$36</definedName>
    <definedName name="CheckA8b99" localSheetId="19" hidden="1">OwnersEquity!$E$37</definedName>
    <definedName name="CheckA8b99" localSheetId="6" hidden="1">preCE!$E$40</definedName>
    <definedName name="CheckA8c01" localSheetId="10" hidden="1">CE!$F$9</definedName>
    <definedName name="CheckA8c01" localSheetId="19" hidden="1">OwnersEquity!$F$9</definedName>
    <definedName name="CheckA8c01" localSheetId="6" hidden="1">preCE!$F$9</definedName>
    <definedName name="CheckA8c10" localSheetId="10" hidden="1">CE!$F$13</definedName>
    <definedName name="CheckA8c10" localSheetId="19" hidden="1">OwnersEquity!$F$13</definedName>
    <definedName name="CheckA8c10" localSheetId="6" hidden="1">preCE!$F$14</definedName>
    <definedName name="CheckA8c99" localSheetId="10" hidden="1">CE!$F$36</definedName>
    <definedName name="CheckA8c99" localSheetId="19" hidden="1">OwnersEquity!$F$37</definedName>
    <definedName name="CheckA8c99" localSheetId="6" hidden="1">preCE!$F$40</definedName>
    <definedName name="CheckA8d01" localSheetId="10" hidden="1">CE!$G$9</definedName>
    <definedName name="CheckA8d01" localSheetId="19" hidden="1">OwnersEquity!$G$9</definedName>
    <definedName name="CheckA8d01" localSheetId="6" hidden="1">preCE!$G$9</definedName>
    <definedName name="CheckA8d10" localSheetId="10" hidden="1">CE!$G$13</definedName>
    <definedName name="CheckA8d10" localSheetId="19" hidden="1">OwnersEquity!$G$13</definedName>
    <definedName name="CheckA8d10" localSheetId="6" hidden="1">preCE!$G$14</definedName>
    <definedName name="CheckA8d99" localSheetId="10" hidden="1">CE!$G$36</definedName>
    <definedName name="CheckA8d99" localSheetId="19" hidden="1">OwnersEquity!$G$37</definedName>
    <definedName name="CheckA8d99" localSheetId="6" hidden="1">preCE!$G$40</definedName>
    <definedName name="CheckA8g01" localSheetId="10" hidden="1">CE!$J$9</definedName>
    <definedName name="CheckA8g01" localSheetId="19" hidden="1">OwnersEquity!$J$9</definedName>
    <definedName name="CheckA8g01" localSheetId="6" hidden="1">preCE!$J$9</definedName>
    <definedName name="CheckA8g10" localSheetId="10" hidden="1">CE!$J$13</definedName>
    <definedName name="CheckA8g10" localSheetId="19" hidden="1">OwnersEquity!$J$13</definedName>
    <definedName name="CheckA8g10" localSheetId="6" hidden="1">preCE!$J$14</definedName>
    <definedName name="CheckA8g40" localSheetId="10" hidden="1">CE!$J$15</definedName>
    <definedName name="CheckA8g40" localSheetId="19" hidden="1">OwnersEquity!$J$15</definedName>
    <definedName name="CheckA8g40" localSheetId="6" hidden="1">preCE!$J$18</definedName>
    <definedName name="CheckA8g99" localSheetId="10" hidden="1">CE!$J$36</definedName>
    <definedName name="CheckA8g99" localSheetId="19" hidden="1">OwnersEquity!$J$37</definedName>
    <definedName name="CheckA8g99" localSheetId="6" hidden="1">preCE!$J$40</definedName>
    <definedName name="CheckA9120c" localSheetId="21" hidden="1">Notes!$K$5647</definedName>
    <definedName name="CheckA9120d" localSheetId="21" hidden="1">Notes!$K$5657</definedName>
    <definedName name="CheckA9120e" localSheetId="21" hidden="1">Notes!$K$5667</definedName>
    <definedName name="CheckA9120f" localSheetId="21" hidden="1">Notes!$K$5677</definedName>
    <definedName name="CheckA9120g" localSheetId="21" hidden="1">Notes!$K$5687</definedName>
    <definedName name="CheckA9120h" localSheetId="21" hidden="1">Notes!$K$5697</definedName>
    <definedName name="CheckA9120i" localSheetId="21" hidden="1">Notes!$K$5707</definedName>
    <definedName name="CheckA9120j" localSheetId="21" hidden="1">Notes!$K$5717</definedName>
    <definedName name="CheckA9120k" localSheetId="21" hidden="1">Notes!$K$5727</definedName>
    <definedName name="CheckA9120l" localSheetId="21" hidden="1">Notes!$K$5737</definedName>
    <definedName name="CheckA9120m" localSheetId="21" hidden="1">Notes!$K$5621</definedName>
    <definedName name="CheckA9120n" localSheetId="21" hidden="1">Notes!$K$5634</definedName>
    <definedName name="CheckA9120o" localSheetId="21" hidden="1">Notes!$K$5745</definedName>
    <definedName name="CheckA9120p" localSheetId="21" hidden="1">Notes!$K$5760</definedName>
    <definedName name="CheckA9314a" localSheetId="21" hidden="1">Notes!$K$5183</definedName>
    <definedName name="CheckA9325g" localSheetId="21" hidden="1">Notes!$K$5319</definedName>
    <definedName name="CheckA9325h" localSheetId="21" hidden="1">Notes!$K$5336</definedName>
    <definedName name="CheckA9325i" localSheetId="21" hidden="1">Notes!$K$5353</definedName>
    <definedName name="CheckA9325j" localSheetId="21" hidden="1">Notes!$K$5369</definedName>
    <definedName name="CheckA9325k" localSheetId="21" hidden="1">Notes!$K$5385</definedName>
    <definedName name="CheckA9325m" localSheetId="21" hidden="1">Notes!$K$5419</definedName>
    <definedName name="CheckA9331a" localSheetId="21" hidden="1">Notes!$K$5454</definedName>
    <definedName name="CheckA9331b" localSheetId="21" hidden="1">Notes!$K$5601</definedName>
    <definedName name="CheckA9331g" localSheetId="21" hidden="1">Notes!$K$5575</definedName>
    <definedName name="CheckA9331i" localSheetId="21" hidden="1">Notes!$K$5548</definedName>
    <definedName name="CheckA9331j" localSheetId="21" hidden="1">Notes!$K$5557</definedName>
    <definedName name="CheckA9331k" localSheetId="21" hidden="1">Notes!$K$5500</definedName>
    <definedName name="CheckA9367a" localSheetId="21" hidden="1">Notes!$K$5774</definedName>
    <definedName name="CheckA9367b" localSheetId="21" hidden="1">Notes!$K$5795</definedName>
    <definedName name="CheckA9371h" localSheetId="21" hidden="1">Notes!$K$5275</definedName>
    <definedName name="CheckA9371i" localSheetId="21" hidden="1">Notes!$K$5290</definedName>
    <definedName name="CheckA9371j" localSheetId="21" hidden="1">Notes!$K$5305</definedName>
    <definedName name="CheckA9601a" localSheetId="21" hidden="1">Notes!$K$5804</definedName>
    <definedName name="CheckA9601b" localSheetId="21" hidden="1">Notes!$K$5846</definedName>
    <definedName name="CheckA9601c" localSheetId="21" hidden="1">Notes!$K$5836</definedName>
    <definedName name="CheckA9601d" localSheetId="21" hidden="1">Notes!$K$5856</definedName>
    <definedName name="CheckA9690a" localSheetId="21" hidden="1">Notes!$K$4984</definedName>
    <definedName name="CheckA9690b" localSheetId="21" hidden="1">Notes!$K$4998</definedName>
    <definedName name="CheckA9690c" localSheetId="21" hidden="1">Notes!$K$5008</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Notes!$N$5208</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Notes!$N$5194</definedName>
    <definedName name="CheckB1999" localSheetId="16" hidden="1">BalanceSheet!$H$59</definedName>
    <definedName name="CheckB1999" localSheetId="7" hidden="1">BS!$H$50</definedName>
    <definedName name="CheckB1999" localSheetId="3"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6" hidden="1">BalanceSheet!$L$47</definedName>
    <definedName name="CheckB4001" localSheetId="7" hidden="1">BS!$L$38</definedName>
    <definedName name="CheckB4001" localSheetId="3" hidden="1">preBS!$L$54</definedName>
    <definedName name="CheckB4001a" localSheetId="21" hidden="1">Notes!$N$4308</definedName>
    <definedName name="CheckB4001b" localSheetId="21" hidden="1">Notes!$N$4317</definedName>
    <definedName name="CheckB4002" localSheetId="16" hidden="1">BalanceSheet!$L$51</definedName>
    <definedName name="CheckB4002" localSheetId="7" hidden="1">BS!$L$42</definedName>
    <definedName name="CheckB4002" localSheetId="3" hidden="1">preBS!$L$58</definedName>
    <definedName name="CheckB4002a" localSheetId="21" hidden="1">Notes!$N$4351</definedName>
    <definedName name="CheckB4015" localSheetId="16" hidden="1">BalanceSheet!$L$48</definedName>
    <definedName name="CheckB4015" localSheetId="7" hidden="1">BS!$L$39</definedName>
    <definedName name="CheckB4015" localSheetId="3" hidden="1">preBS!$L$55</definedName>
    <definedName name="CheckB4015a" localSheetId="21" hidden="1">Notes!$N$4340</definedName>
    <definedName name="CheckB4015b" localSheetId="21" hidden="1">Notes!$N$4330</definedName>
    <definedName name="CheckB4101" localSheetId="16" hidden="1">BalanceSheet!$L$55</definedName>
    <definedName name="CheckB4101" localSheetId="7" hidden="1">BS!$L$46</definedName>
    <definedName name="CheckB4101" localSheetId="3" hidden="1">preBS!$L$62</definedName>
    <definedName name="CheckB4101a" localSheetId="21" hidden="1">Notes!$N$4437</definedName>
    <definedName name="CheckB4101b" localSheetId="21" hidden="1">Notes!$N$4424</definedName>
    <definedName name="CheckB4102" localSheetId="16" hidden="1">BalanceSheet!$L$56</definedName>
    <definedName name="CheckB4102" localSheetId="7" hidden="1">BS!$L$47</definedName>
    <definedName name="CheckB4102" localSheetId="3" hidden="1">preBS!$L$63</definedName>
    <definedName name="CheckB4102a" localSheetId="21" hidden="1">Notes!$N$4449</definedName>
    <definedName name="CheckB4200" localSheetId="16" hidden="1">BalanceSheet!$L$57</definedName>
    <definedName name="CheckB4200" localSheetId="7" hidden="1">BS!$L$48</definedName>
    <definedName name="CheckB4200" localSheetId="3" hidden="1">preBS!$L$64</definedName>
    <definedName name="CheckB4200a" localSheetId="21" hidden="1">Notes!$N$4457</definedName>
    <definedName name="CheckB4200b" localSheetId="21" hidden="1">Notes!$N$4474</definedName>
    <definedName name="CheckB4201" localSheetId="16" hidden="1">BalanceSheet!$L$52</definedName>
    <definedName name="CheckB4201" localSheetId="7" hidden="1">BS!$L$43</definedName>
    <definedName name="CheckB4201" localSheetId="3" hidden="1">preBS!$L$59</definedName>
    <definedName name="CheckB4201a" localSheetId="21" hidden="1">Notes!$N$4360</definedName>
    <definedName name="CheckB4215" localSheetId="16" hidden="1">BalanceSheet!$L$53</definedName>
    <definedName name="CheckB4215" localSheetId="7" hidden="1">BS!$L$44</definedName>
    <definedName name="CheckB4215" localSheetId="3" hidden="1">preBS!$L$60</definedName>
    <definedName name="CheckB4215a" localSheetId="21" hidden="1">Notes!$N$4392</definedName>
    <definedName name="CheckB4215b" localSheetId="21" hidden="1">Notes!$N$4367</definedName>
    <definedName name="CheckB4298" localSheetId="3" hidden="1">preBS!$L$65</definedName>
    <definedName name="CheckB4301" localSheetId="16" hidden="1">BalanceSheet!$L$54</definedName>
    <definedName name="CheckB4301" localSheetId="7" hidden="1">BS!$L$45</definedName>
    <definedName name="CheckB4301" localSheetId="3" hidden="1">preBS!$L$61</definedName>
    <definedName name="CheckB4301a" localSheetId="21" hidden="1">Notes!$N$4413</definedName>
    <definedName name="CheckB4398" localSheetId="3" hidden="1">preBS!$L$66</definedName>
    <definedName name="CheckB4999" localSheetId="16" hidden="1">BalanceSheet!$L$58</definedName>
    <definedName name="CheckB4999" localSheetId="7" hidden="1">BS!$L$49</definedName>
    <definedName name="CheckB4999" localSheetId="3" hidden="1">preBS!$L$67</definedName>
    <definedName name="CheckB5000" localSheetId="16" hidden="1">BalanceSheet!$L$59</definedName>
    <definedName name="CheckB5000" localSheetId="7" hidden="1">BS!$L$50</definedName>
    <definedName name="CheckB5000" localSheetId="3"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Notes!$N$4848</definedName>
    <definedName name="CheckB6101b" localSheetId="21" hidden="1">Notes!$N$4835</definedName>
    <definedName name="CheckB6102a" localSheetId="21" hidden="1">Notes!$N$4821</definedName>
    <definedName name="CheckB6111a" localSheetId="21" hidden="1">Notes!$N$4799</definedName>
    <definedName name="CheckB6171a" localSheetId="21" hidden="1">Notes!$N$4898</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Notes!$N$4876</definedName>
    <definedName name="CheckB6672a" localSheetId="21" hidden="1">Notes!$N$4862</definedName>
    <definedName name="CheckB6710a" localSheetId="21" hidden="1">Notes!$N$4913</definedName>
    <definedName name="CheckB6710b" localSheetId="21" hidden="1">Notes!$N$4926</definedName>
    <definedName name="CheckB6711a" localSheetId="21" hidden="1">Notes!$N$4944</definedName>
    <definedName name="CheckB6791a" localSheetId="21" hidden="1">Notes!$N$4957</definedName>
    <definedName name="CheckB6791b" localSheetId="21" hidden="1">Notes!$N$4965</definedName>
    <definedName name="CheckB6799" localSheetId="17" hidden="1">IncomeStatement!$F$43</definedName>
    <definedName name="CheckB6799" localSheetId="8" hidden="1">IS!$F$30</definedName>
    <definedName name="CheckB6799" localSheetId="4" hidden="1">preIS!$F$45</definedName>
    <definedName name="CheckB6811" localSheetId="4" hidden="1">preIS!$F$50</definedName>
    <definedName name="CheckB6812" localSheetId="4" hidden="1">preIS!$F$51</definedName>
    <definedName name="CheckB6829" localSheetId="17" hidden="1">IncomeStatement!$F$46</definedName>
    <definedName name="CheckB6829" localSheetId="8" hidden="1">IS!$F$33</definedName>
    <definedName name="CheckB6829" localSheetId="4" hidden="1">preIS!$F$52</definedName>
    <definedName name="CheckB6839" localSheetId="17" hidden="1">IncomeStatement!$F$65</definedName>
    <definedName name="CheckB6839" localSheetId="8" hidden="1">IS!$F$52</definedName>
    <definedName name="CheckB6839" localSheetId="4" hidden="1">preIS!$F$74</definedName>
    <definedName name="CheckB6841" localSheetId="4" hidden="1">preIS!$F$75</definedName>
    <definedName name="CheckB6842" localSheetId="4" hidden="1">preIS!$F$76</definedName>
    <definedName name="CheckB7001x" localSheetId="21" hidden="1">Notes!$N$5868</definedName>
    <definedName name="CheckB7046a" localSheetId="21" hidden="1">Notes!$N$5020</definedName>
    <definedName name="CheckB7046x" localSheetId="21" hidden="1">Notes!$N$5879</definedName>
    <definedName name="CheckB7051x" localSheetId="21" hidden="1">Notes!$N$5890</definedName>
    <definedName name="CheckB7061x" localSheetId="21" hidden="1">Notes!$N$5901</definedName>
    <definedName name="CheckB7071x" localSheetId="21" hidden="1">Notes!$N$5912</definedName>
    <definedName name="CheckB7096a" localSheetId="21" hidden="1">Notes!$N$5036</definedName>
    <definedName name="CheckB7096x" localSheetId="21" hidden="1">Notes!$N$5923</definedName>
    <definedName name="CheckB7099" localSheetId="18" hidden="1">CashFlow!$F$33</definedName>
    <definedName name="CheckB7099" localSheetId="9" hidden="1">CF!$F$17</definedName>
    <definedName name="CheckB7099" localSheetId="5" hidden="1">preCF!$F$35</definedName>
    <definedName name="CheckB7101x" localSheetId="21" hidden="1">Notes!$N$5934</definedName>
    <definedName name="CheckB7105x" localSheetId="21" hidden="1">Notes!$N$5945</definedName>
    <definedName name="CheckB7111x" localSheetId="21" hidden="1">Notes!$N$5956</definedName>
    <definedName name="CheckB7146a" localSheetId="21" hidden="1">Notes!$N$5052</definedName>
    <definedName name="CheckB7151x" localSheetId="21" hidden="1">Notes!$N$5975</definedName>
    <definedName name="CheckB7161x" localSheetId="21" hidden="1">Notes!$N$5996</definedName>
    <definedName name="CheckB7196a" localSheetId="21" hidden="1">Notes!$N$5063</definedName>
    <definedName name="CheckB7211x" localSheetId="21" hidden="1">Notes!$N$6007</definedName>
    <definedName name="CheckB7246a" localSheetId="21" hidden="1">Notes!$N$5074</definedName>
    <definedName name="CheckB7251x" localSheetId="21" hidden="1">Notes!$N$6019</definedName>
    <definedName name="CheckB7261x" localSheetId="21" hidden="1">Notes!$N$6031</definedName>
    <definedName name="CheckB7296a" localSheetId="21" hidden="1">Notes!$N$5085</definedName>
    <definedName name="CheckB7348" localSheetId="18" hidden="1">CashFlow!$F$59</definedName>
    <definedName name="CheckB7348" localSheetId="9" hidden="1">CF!$F$42</definedName>
    <definedName name="CheckB7348" localSheetId="5" hidden="1">preCF!$F$63</definedName>
    <definedName name="CheckB7349" localSheetId="18" hidden="1">CashFlow!$F$60</definedName>
    <definedName name="CheckB7349" localSheetId="9" hidden="1">CF!$F$43</definedName>
    <definedName name="CheckB7349" localSheetId="5" hidden="1">preCF!$F$64</definedName>
    <definedName name="CheckB7399" localSheetId="18" hidden="1">CashFlow!$F$61</definedName>
    <definedName name="CheckB7399" localSheetId="9" hidden="1">CF!$F$44</definedName>
    <definedName name="CheckB7399" localSheetId="5" hidden="1">preCF!$F$65</definedName>
    <definedName name="CheckB7500a" localSheetId="21" hidden="1">Notes!$N$5096</definedName>
    <definedName name="CheckB7500b" localSheetId="21" hidden="1">Notes!$N$5119</definedName>
    <definedName name="CheckB7500c" localSheetId="21" hidden="1">Notes!$N$5127</definedName>
    <definedName name="CheckB7500e" localSheetId="21" hidden="1">Notes!$N$5156</definedName>
    <definedName name="CheckB7500f" localSheetId="21" hidden="1">Notes!$N$5172</definedName>
    <definedName name="CheckB7500g" localSheetId="21" hidden="1">Notes!$N$5136</definedName>
    <definedName name="CheckB7500h" localSheetId="21" hidden="1">Notes!$N$5146</definedName>
    <definedName name="CheckB7502" localSheetId="18" hidden="1">CashFlow!$F$68</definedName>
    <definedName name="CheckB7502" localSheetId="9" hidden="1">CF!$F$51</definedName>
    <definedName name="CheckB7502" localSheetId="5" hidden="1">preCF!$F$71</definedName>
    <definedName name="CheckB7503a" localSheetId="21" hidden="1">Notes!$N$6054</definedName>
    <definedName name="CheckB7505a" localSheetId="21" hidden="1">Notes!$N$6063</definedName>
    <definedName name="CheckB7506a" localSheetId="21" hidden="1">Notes!$N$6074</definedName>
    <definedName name="CheckB7507a" localSheetId="21" hidden="1">Notes!$N$6083</definedName>
    <definedName name="CheckB7508a" localSheetId="21" hidden="1">Notes!$N$6092</definedName>
    <definedName name="CheckB7509a" localSheetId="21" hidden="1">Notes!$N$6106</definedName>
    <definedName name="CheckB7510a" localSheetId="21" hidden="1">Notes!$N$6116</definedName>
    <definedName name="CheckB7511a" localSheetId="21" hidden="1">Notes!$N$6125</definedName>
    <definedName name="CheckB7512a" localSheetId="21" hidden="1">Notes!$N$6136</definedName>
    <definedName name="CheckB7515a" localSheetId="21" hidden="1">Notes!$N$6145</definedName>
    <definedName name="CheckB7516a" localSheetId="21" hidden="1">Notes!$N$6154</definedName>
    <definedName name="CheckB7517a" localSheetId="21" hidden="1">Notes!$N$6163</definedName>
    <definedName name="CheckB7518a" localSheetId="21" hidden="1">Notes!$N$6185</definedName>
    <definedName name="CheckB7519a" localSheetId="21" hidden="1">Notes!$N$6212</definedName>
    <definedName name="CheckB7523a" localSheetId="21" hidden="1">Notes!$N$6241</definedName>
    <definedName name="CheckB7525" localSheetId="18" hidden="1">CashFlow!$F$85</definedName>
    <definedName name="CheckB7525" localSheetId="9" hidden="1">CF!$F$68</definedName>
    <definedName name="CheckB7525" localSheetId="5" hidden="1">preCF!$F$88</definedName>
    <definedName name="CheckB7539" localSheetId="18" hidden="1">CashFlow!$F$95</definedName>
    <definedName name="CheckB7539" localSheetId="9" hidden="1">CF!$F$78</definedName>
    <definedName name="CheckB7539" localSheetId="5" hidden="1">preCF!$F$98</definedName>
    <definedName name="CheckB8001" localSheetId="10" hidden="1">CE!$AC$9</definedName>
    <definedName name="CheckB8001" localSheetId="19" hidden="1">OwnersEquity!$AC$9</definedName>
    <definedName name="CheckB8001" localSheetId="6" hidden="1">preCE!$AE$9</definedName>
    <definedName name="CheckB8040" localSheetId="10" hidden="1">CE!$AC$15</definedName>
    <definedName name="CheckB8040" localSheetId="19" hidden="1">OwnersEquity!$AC$15</definedName>
    <definedName name="CheckB8040" localSheetId="6" hidden="1">preCE!$AE$18</definedName>
    <definedName name="CheckB8099" localSheetId="10" hidden="1">CE!$AC$36</definedName>
    <definedName name="CheckB8099" localSheetId="19" hidden="1">OwnersEquity!$AC$37</definedName>
    <definedName name="CheckB8099" localSheetId="6" hidden="1">preCE!$AE$40</definedName>
    <definedName name="CheckB8101" localSheetId="10" hidden="1">CE!$Q$9</definedName>
    <definedName name="CheckB8101" localSheetId="19" hidden="1">OwnersEquity!$Q$9</definedName>
    <definedName name="CheckB8101" localSheetId="6" hidden="1">preCE!$R$9</definedName>
    <definedName name="CheckB8199" localSheetId="10" hidden="1">CE!$Q$36</definedName>
    <definedName name="CheckB8199" localSheetId="19" hidden="1">OwnersEquity!$Q$37</definedName>
    <definedName name="CheckB8199" localSheetId="6" hidden="1">preCE!$R$40</definedName>
    <definedName name="CheckB8201" localSheetId="10" hidden="1">CE!$U$9</definedName>
    <definedName name="CheckB8201" localSheetId="19" hidden="1">OwnersEquity!$U$9</definedName>
    <definedName name="CheckB8201" localSheetId="6" hidden="1">preCE!$V$9</definedName>
    <definedName name="CheckB8299" localSheetId="10" hidden="1">CE!$U$36</definedName>
    <definedName name="CheckB8299" localSheetId="19" hidden="1">OwnersEquity!$U$37</definedName>
    <definedName name="CheckB8299" localSheetId="6" hidden="1">preCE!$V$40</definedName>
    <definedName name="CheckB8301" localSheetId="10" hidden="1">CE!$V$9</definedName>
    <definedName name="CheckB8301" localSheetId="19" hidden="1">OwnersEquity!$V$9</definedName>
    <definedName name="CheckB8301" localSheetId="6" hidden="1">preCE!$W$9</definedName>
    <definedName name="CheckB8399" localSheetId="10" hidden="1">CE!$V$36</definedName>
    <definedName name="CheckB8399" localSheetId="19" hidden="1">OwnersEquity!$V$37</definedName>
    <definedName name="CheckB8399" localSheetId="6" hidden="1">preCE!$W$40</definedName>
    <definedName name="CheckB8401" localSheetId="10" hidden="1">CE!$X$9</definedName>
    <definedName name="CheckB8401" localSheetId="19" hidden="1">OwnersEquity!$X$9</definedName>
    <definedName name="CheckB8401" localSheetId="6" hidden="1">preCE!$Y$9</definedName>
    <definedName name="CheckB8499" localSheetId="10" hidden="1">CE!$X$36</definedName>
    <definedName name="CheckB8499" localSheetId="19" hidden="1">OwnersEquity!$X$37</definedName>
    <definedName name="CheckB8499" localSheetId="6" hidden="1">preCE!$Y$40</definedName>
    <definedName name="CheckB8501" localSheetId="10" hidden="1">CE!$Y$9</definedName>
    <definedName name="CheckB8501" localSheetId="19" hidden="1">OwnersEquity!$Y$9</definedName>
    <definedName name="CheckB8501" localSheetId="6" hidden="1">preCE!$Z$9</definedName>
    <definedName name="CheckB8599" localSheetId="10" hidden="1">CE!$Y$36</definedName>
    <definedName name="CheckB8599" localSheetId="19" hidden="1">OwnersEquity!$Y$37</definedName>
    <definedName name="CheckB8599" localSheetId="6" hidden="1">preCE!$Z$40</definedName>
    <definedName name="CheckB8601" localSheetId="19" hidden="1">OwnersEquity!$Z$9</definedName>
    <definedName name="CheckB8601" localSheetId="6" hidden="1">preCE!$AA$9</definedName>
    <definedName name="CheckB8699" localSheetId="10" hidden="1">CE!$Z$36</definedName>
    <definedName name="CheckB8699" localSheetId="19" hidden="1">OwnersEquity!$Z$37</definedName>
    <definedName name="CheckB8699" localSheetId="6" hidden="1">preCE!$AA$40</definedName>
    <definedName name="CheckB8701" localSheetId="10" hidden="1">CE!$AA$9</definedName>
    <definedName name="CheckB8701" localSheetId="19" hidden="1">OwnersEquity!$AA$9</definedName>
    <definedName name="CheckB8701" localSheetId="6" hidden="1">preCE!$AB$9</definedName>
    <definedName name="CheckB8740" localSheetId="10" hidden="1">CE!$AA$15</definedName>
    <definedName name="CheckB8740" localSheetId="19" hidden="1">OwnersEquity!$AA$15</definedName>
    <definedName name="CheckB8740" localSheetId="6" hidden="1">preCE!$AB$18</definedName>
    <definedName name="CheckB8799" localSheetId="10" hidden="1">CE!$AA$36</definedName>
    <definedName name="CheckB8799" localSheetId="19" hidden="1">OwnersEquity!$AA$37</definedName>
    <definedName name="CheckB8799" localSheetId="6" hidden="1">preCE!$AB$40</definedName>
    <definedName name="CheckB8801" localSheetId="10" hidden="1">CE!$AB$9</definedName>
    <definedName name="CheckB8801" localSheetId="19" hidden="1">OwnersEquity!$AB$9</definedName>
    <definedName name="CheckB8801" localSheetId="6" hidden="1">preCE!$AC$9</definedName>
    <definedName name="CheckB8899" localSheetId="10" hidden="1">CE!$AB$36</definedName>
    <definedName name="CheckB8899" localSheetId="19" hidden="1">OwnersEquity!$AB$37</definedName>
    <definedName name="CheckB8899" localSheetId="6" hidden="1">preCE!$AC$40</definedName>
    <definedName name="CheckB8901" localSheetId="6" hidden="1">preCE!$AD$9</definedName>
    <definedName name="CheckB8940" localSheetId="6" hidden="1">preCE!$AD$18</definedName>
    <definedName name="CheckB8999" localSheetId="6" hidden="1">preCE!$AD$40</definedName>
    <definedName name="CheckB8a01" localSheetId="6" hidden="1">preCE!$S$9</definedName>
    <definedName name="CheckB8b01" localSheetId="10" hidden="1">CE!$R$9</definedName>
    <definedName name="CheckB8b01" localSheetId="19" hidden="1">OwnersEquity!$R$9</definedName>
    <definedName name="CheckB8b99" localSheetId="10" hidden="1">CE!$R$36</definedName>
    <definedName name="CheckB8b99" localSheetId="19" hidden="1">OwnersEquity!$R$37</definedName>
    <definedName name="CheckB8b99" localSheetId="6" hidden="1">preCE!$S$40</definedName>
    <definedName name="CheckB8c01" localSheetId="10" hidden="1">CE!$S$9</definedName>
    <definedName name="CheckB8c01" localSheetId="19" hidden="1">OwnersEquity!$S$9</definedName>
    <definedName name="CheckB8c01" localSheetId="6" hidden="1">preCE!$T$9</definedName>
    <definedName name="CheckB8c99" localSheetId="10" hidden="1">CE!$S$36</definedName>
    <definedName name="CheckB8c99" localSheetId="19" hidden="1">OwnersEquity!$S$37</definedName>
    <definedName name="CheckB8c99" localSheetId="6" hidden="1">preCE!$T$40</definedName>
    <definedName name="CheckB8d01" localSheetId="10" hidden="1">CE!$T$9</definedName>
    <definedName name="CheckB8d01" localSheetId="19" hidden="1">OwnersEquity!$T$9</definedName>
    <definedName name="CheckB8d01" localSheetId="6" hidden="1">preCE!$U$9</definedName>
    <definedName name="CheckB8d99" localSheetId="10" hidden="1">CE!$T$36</definedName>
    <definedName name="CheckB8d99" localSheetId="19" hidden="1">OwnersEquity!$T$37</definedName>
    <definedName name="CheckB8d99" localSheetId="6" hidden="1">preCE!$U$40</definedName>
    <definedName name="CheckB8g01" localSheetId="10" hidden="1">CE!$W$9</definedName>
    <definedName name="CheckB8g01" localSheetId="19" hidden="1">OwnersEquity!$W$9</definedName>
    <definedName name="CheckB8g01" localSheetId="6" hidden="1">preCE!$X$9</definedName>
    <definedName name="CheckB8g40" localSheetId="10" hidden="1">CE!$W$15</definedName>
    <definedName name="CheckB8g40" localSheetId="19" hidden="1">OwnersEquity!$W$15</definedName>
    <definedName name="CheckB8g40" localSheetId="6" hidden="1">preCE!$X$18</definedName>
    <definedName name="CheckB8g99" localSheetId="10" hidden="1">CE!$W$36</definedName>
    <definedName name="CheckB8g99" localSheetId="19" hidden="1">OwnersEquity!$W$37</definedName>
    <definedName name="CheckB8g99" localSheetId="6" hidden="1">preCE!$X$40</definedName>
    <definedName name="CheckB9120c" localSheetId="21" hidden="1">Notes!$N$5647</definedName>
    <definedName name="CheckB9120d" localSheetId="21" hidden="1">Notes!$N$5657</definedName>
    <definedName name="CheckB9120e" localSheetId="21" hidden="1">Notes!$N$5667</definedName>
    <definedName name="CheckB9120f" localSheetId="21" hidden="1">Notes!$N$5677</definedName>
    <definedName name="CheckB9120g" localSheetId="21" hidden="1">Notes!$N$5687</definedName>
    <definedName name="CheckB9120h" localSheetId="21" hidden="1">Notes!$N$5697</definedName>
    <definedName name="CheckB9120i" localSheetId="21" hidden="1">Notes!$N$5707</definedName>
    <definedName name="CheckB9120j" localSheetId="21" hidden="1">Notes!$N$5717</definedName>
    <definedName name="CheckB9120k" localSheetId="21" hidden="1">Notes!$N$5727</definedName>
    <definedName name="CheckB9120l" localSheetId="21" hidden="1">Notes!$N$5737</definedName>
    <definedName name="CheckB9120m" localSheetId="21" hidden="1">Notes!$N$5621</definedName>
    <definedName name="CheckB9120n" localSheetId="21" hidden="1">Notes!$N$5634</definedName>
    <definedName name="CheckB9120o" localSheetId="21" hidden="1">Notes!$N$5745</definedName>
    <definedName name="CheckB9120p" localSheetId="21" hidden="1">Notes!$N$5760</definedName>
    <definedName name="CheckB9314a" localSheetId="21" hidden="1">Notes!$N$5183</definedName>
    <definedName name="CheckB9325g" localSheetId="21" hidden="1">Notes!$N$5319</definedName>
    <definedName name="CheckB9325h" localSheetId="21" hidden="1">Notes!$N$5336</definedName>
    <definedName name="CheckB9325i" localSheetId="21" hidden="1">Notes!$N$5353</definedName>
    <definedName name="CheckB9325j" localSheetId="21" hidden="1">Notes!$N$5369</definedName>
    <definedName name="CheckB9325k" localSheetId="21" hidden="1">Notes!$N$5385</definedName>
    <definedName name="CheckB9325m" localSheetId="21" hidden="1">Notes!$N$5419</definedName>
    <definedName name="CheckB9331a" localSheetId="21" hidden="1">Notes!$N$5454</definedName>
    <definedName name="CheckB9331b" localSheetId="21" hidden="1">Notes!$N$5601</definedName>
    <definedName name="CheckB9331g" localSheetId="21" hidden="1">Notes!$N$5575</definedName>
    <definedName name="CheckB9331i" localSheetId="21" hidden="1">Notes!$N$5548</definedName>
    <definedName name="CheckB9331j" localSheetId="21" hidden="1">Notes!$N$5557</definedName>
    <definedName name="CheckB9331k" localSheetId="21" hidden="1">Notes!$N$5500</definedName>
    <definedName name="CheckB9367a" localSheetId="21" hidden="1">Notes!$N$5774</definedName>
    <definedName name="CheckB9367b" localSheetId="21" hidden="1">Notes!$N$5795</definedName>
    <definedName name="CheckB9371h" localSheetId="21" hidden="1">Notes!$N$5275</definedName>
    <definedName name="CheckB9371i" localSheetId="21" hidden="1">Notes!$N$5290</definedName>
    <definedName name="CheckB9371j" localSheetId="21" hidden="1">Notes!$N$5305</definedName>
    <definedName name="CheckB9601a" localSheetId="21" hidden="1">Notes!$N$5804</definedName>
    <definedName name="CheckB9601b" localSheetId="21" hidden="1">Notes!$N$5846</definedName>
    <definedName name="CheckB9601c" localSheetId="21" hidden="1">Notes!$N$5836</definedName>
    <definedName name="CheckB9601d" localSheetId="21" hidden="1">Notes!$N$5856</definedName>
    <definedName name="CheckB9690a" localSheetId="21" hidden="1">Notes!$N$4984</definedName>
    <definedName name="CheckB9690b" localSheetId="21" hidden="1">Notes!$N$4998</definedName>
    <definedName name="CheckB9690c" localSheetId="21" hidden="1">Notes!$N$5008</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Notes!$E$5209:$J$5273</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Notes!$E$5195:$I$5206</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Notes!$E$4849:$I$4860</definedName>
    <definedName name="NOTE_6101b" localSheetId="21" hidden="1">Notes!$E$4836:$I$4847</definedName>
    <definedName name="NOTE_6102a" localSheetId="21" hidden="1">Notes!$E$4822:$I$4833</definedName>
    <definedName name="NOTE_6111a" localSheetId="21" hidden="1">Notes!$E$4800:$I$4819</definedName>
    <definedName name="NOTE_6171a" localSheetId="21" hidden="1">Notes!$E$4899:$I$4911</definedName>
    <definedName name="NOTE_6181a" localSheetId="21" hidden="1">Notes!$E$4777:$J$4789</definedName>
    <definedName name="NOTE_6181aCHKH01" localSheetId="21" hidden="1">Notes!$G$4790:$K$4797</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Notes!$E$4877:$I$4896</definedName>
    <definedName name="NOTE_6672a" localSheetId="21" hidden="1">Notes!$E$4863:$I$4874</definedName>
    <definedName name="NOTE_6710a" localSheetId="21" hidden="1">Notes!$E$4914:$J$4925</definedName>
    <definedName name="NOTE_6710b" localSheetId="21" hidden="1">Notes!$E$4927:$J$4935</definedName>
    <definedName name="NOTE_6710bCHKH01" localSheetId="21" hidden="1">Notes!$G$4936:$K$4942</definedName>
    <definedName name="NOTE_6711a" localSheetId="21" hidden="1">Notes!$E$4945:$J$4955</definedName>
    <definedName name="NOTE_6791a" localSheetId="21" hidden="1">Notes!$E$4958:$I$4964</definedName>
    <definedName name="NOTE_6791b" localSheetId="21" hidden="1">Notes!$E$4966:$I$4982</definedName>
    <definedName name="NOTE_7001x" localSheetId="21" hidden="1">Notes!$E$5869:$J$5877</definedName>
    <definedName name="NOTE_7046a" localSheetId="21" hidden="1">Notes!$E$5021:$I$5034</definedName>
    <definedName name="NOTE_7046x" localSheetId="21" hidden="1">Notes!$E$5880:$J$5888</definedName>
    <definedName name="NOTE_7051x" localSheetId="21" hidden="1">Notes!$E$5891:$J$5899</definedName>
    <definedName name="NOTE_7061x" localSheetId="21" hidden="1">Notes!$E$5902:$J$5910</definedName>
    <definedName name="NOTE_7071x" localSheetId="21" hidden="1">Notes!$E$5913:$J$5921</definedName>
    <definedName name="NOTE_7096a" localSheetId="21" hidden="1">Notes!$E$5037:$I$5050</definedName>
    <definedName name="NOTE_7096x" localSheetId="21" hidden="1">Notes!$E$5924:$J$5932</definedName>
    <definedName name="NOTE_7101x" localSheetId="21" hidden="1">Notes!$E$5935:$J$5943</definedName>
    <definedName name="NOTE_7105x" localSheetId="21" hidden="1">Notes!$E$5946:$J$5954</definedName>
    <definedName name="NOTE_7111x" localSheetId="21" hidden="1">Notes!$E$5957:$J$5973</definedName>
    <definedName name="NOTE_7146a" localSheetId="21" hidden="1">Notes!$E$5053:$I$5061</definedName>
    <definedName name="NOTE_7151x" localSheetId="21" hidden="1">Notes!$E$5976:$J$5994</definedName>
    <definedName name="NOTE_7161x" localSheetId="21" hidden="1">Notes!$E$5997:$J$6005</definedName>
    <definedName name="NOTE_7196a" localSheetId="21" hidden="1">Notes!$E$5064:$I$5072</definedName>
    <definedName name="NOTE_7211x" localSheetId="21" hidden="1">Notes!$E$6008:$J$6017</definedName>
    <definedName name="NOTE_7246a" localSheetId="21" hidden="1">Notes!$E$5075:$I$5083</definedName>
    <definedName name="NOTE_7251x" localSheetId="21" hidden="1">Notes!$E$6020:$J$6029</definedName>
    <definedName name="NOTE_7261x" localSheetId="21" hidden="1">Notes!$E$6032:$J$6051</definedName>
    <definedName name="NOTE_7296a" localSheetId="21" hidden="1">Notes!$E$5086:$I$5094</definedName>
    <definedName name="NOTE_7400a" localSheetId="21" hidden="1">Notes!$E$5018:$I$5018</definedName>
    <definedName name="NOTE_7500a" localSheetId="21" hidden="1">Notes!$E$5097:$I$5118</definedName>
    <definedName name="NOTE_7500b" localSheetId="21" hidden="1">Notes!$E$5120:$I$5126</definedName>
    <definedName name="NOTE_7500c" localSheetId="21" hidden="1">Notes!$E$5128:$I$5135</definedName>
    <definedName name="NOTE_7500e" localSheetId="21" hidden="1">Notes!$E$5157:$I$5171</definedName>
    <definedName name="NOTE_7500f" localSheetId="21" hidden="1">Notes!$E$5173:$H$5181</definedName>
    <definedName name="NOTE_7500g" localSheetId="21" hidden="1">Notes!$E$5137:$H$5145</definedName>
    <definedName name="NOTE_7500h" localSheetId="21" hidden="1">Notes!$E$5147:$H$5155</definedName>
    <definedName name="NOTE_7503a" localSheetId="21" hidden="1">Notes!$E$6055:$I$6061</definedName>
    <definedName name="NOTE_7505a" localSheetId="21" hidden="1">Notes!$E$6064:$I$6072</definedName>
    <definedName name="NOTE_7506a" localSheetId="21" hidden="1">Notes!$E$6075:$I$6081</definedName>
    <definedName name="NOTE_7507a" localSheetId="21" hidden="1">Notes!$E$6084:$I$6090</definedName>
    <definedName name="NOTE_7508a" localSheetId="21" hidden="1">Notes!$E$6093:$I$6104</definedName>
    <definedName name="NOTE_7509a" localSheetId="21" hidden="1">Notes!$E$6107:$I$6114</definedName>
    <definedName name="NOTE_7510a" localSheetId="21" hidden="1">Notes!$E$6117:$I$6123</definedName>
    <definedName name="NOTE_7511a" localSheetId="21" hidden="1">Notes!$E$6126:$I$6134</definedName>
    <definedName name="NOTE_7512a" localSheetId="21" hidden="1">Notes!$E$6137:$I$6143</definedName>
    <definedName name="NOTE_7515a" localSheetId="21" hidden="1">Notes!$E$6146:$K$6152</definedName>
    <definedName name="NOTE_7516a" localSheetId="21" hidden="1">Notes!$E$6155:$K$6161</definedName>
    <definedName name="NOTE_7517a" localSheetId="21" hidden="1">Notes!$E$6164:$K$6183</definedName>
    <definedName name="NOTE_7518a" localSheetId="21" hidden="1">Notes!$E$6186:$K$6210</definedName>
    <definedName name="NOTE_7519a" localSheetId="21" hidden="1">Notes!$E$6213:$K$6239</definedName>
    <definedName name="NOTE_7523a" localSheetId="21" hidden="1">Notes!$E$6242:$I$6248</definedName>
    <definedName name="NOTE_9120c" localSheetId="21" hidden="1">Notes!$E$5648:$M$5656</definedName>
    <definedName name="NOTE_9120d" localSheetId="21" hidden="1">Notes!$E$5658:$M$5666</definedName>
    <definedName name="NOTE_9120e" localSheetId="21" hidden="1">Notes!$E$5668:$J$5676</definedName>
    <definedName name="NOTE_9120f" localSheetId="21" hidden="1">Notes!$E$5678:$J$5686</definedName>
    <definedName name="NOTE_9120g" localSheetId="21" hidden="1">Notes!$E$5688:$K$5696</definedName>
    <definedName name="NOTE_9120h" localSheetId="21" hidden="1">Notes!$E$5698:$K$5706</definedName>
    <definedName name="NOTE_9120i" localSheetId="21" hidden="1">Notes!$E$5708:$K$5716</definedName>
    <definedName name="NOTE_9120j" localSheetId="21" hidden="1">Notes!$E$5718:$K$5726</definedName>
    <definedName name="NOTE_9120k" localSheetId="21" hidden="1">Notes!$E$5728:$J$5736</definedName>
    <definedName name="NOTE_9120l" localSheetId="21" hidden="1">Notes!$E$5738:$I$5744</definedName>
    <definedName name="NOTE_9120m" localSheetId="21" hidden="1">Notes!$E$5622:$J$5633</definedName>
    <definedName name="NOTE_9120n" localSheetId="21" hidden="1">Notes!$E$5635:$J$5646</definedName>
    <definedName name="NOTE_9120o" localSheetId="21" hidden="1">Notes!$E$5746:$L$5759</definedName>
    <definedName name="NOTE_9120p" localSheetId="21" hidden="1">Notes!$E$5761:$J$5772</definedName>
    <definedName name="NOTE_9314a" localSheetId="21" hidden="1">Notes!$E$5184:$I$5192</definedName>
    <definedName name="NOTE_9325g" localSheetId="21" hidden="1">Notes!$E$5320:$L$5335</definedName>
    <definedName name="NOTE_9325h" localSheetId="21" hidden="1">Notes!$E$5337:$L$5352</definedName>
    <definedName name="NOTE_9325i" localSheetId="21" hidden="1">Notes!$E$5354:$M$5368</definedName>
    <definedName name="NOTE_9325j" localSheetId="21" hidden="1">Notes!$E$5370:$M$5384</definedName>
    <definedName name="NOTE_9325k" localSheetId="21" hidden="1">Notes!$E$5386:$J$5418</definedName>
    <definedName name="NOTE_9325m" localSheetId="21" hidden="1">Notes!$E$5420:$J$5452</definedName>
    <definedName name="NOTE_9331a" localSheetId="21" hidden="1">Notes!$E$5455:$K$5499</definedName>
    <definedName name="NOTE_9331b" localSheetId="21" hidden="1">Notes!$E$5602:$K$5619</definedName>
    <definedName name="NOTE_9331g" localSheetId="21" hidden="1">Notes!$E$5576:$R$5600</definedName>
    <definedName name="NOTE_9331i" localSheetId="21" hidden="1">Notes!$E$5549:$J$5556</definedName>
    <definedName name="NOTE_9331j" localSheetId="21" hidden="1">Notes!$E$5558:$K$5574</definedName>
    <definedName name="NOTE_9331k" localSheetId="21" hidden="1">Notes!$E$5501:$K$5547</definedName>
    <definedName name="NOTE_9367a" localSheetId="21" hidden="1">Notes!$E$5775:$I$5794</definedName>
    <definedName name="NOTE_9367b" localSheetId="21" hidden="1">Notes!$E$5796:$M$5802</definedName>
    <definedName name="NOTE_9371h" localSheetId="21" hidden="1">Notes!$E$5276:$L$5289</definedName>
    <definedName name="NOTE_9371i" localSheetId="21" hidden="1">Notes!$E$5291:$L$5304</definedName>
    <definedName name="NOTE_9371j" localSheetId="21" hidden="1">Notes!$E$5306:$I$5317</definedName>
    <definedName name="NOTE_9601a" localSheetId="21" hidden="1">Notes!$E$5805:$J$5835</definedName>
    <definedName name="NOTE_9601b" localSheetId="21" hidden="1">Notes!$E$5847:$I$5855</definedName>
    <definedName name="NOTE_9601c" localSheetId="21" hidden="1">Notes!$E$5837:$I$5845</definedName>
    <definedName name="NOTE_9601d" localSheetId="21" hidden="1">Notes!$E$5857:$I$5865</definedName>
    <definedName name="NOTE_9690a" localSheetId="21" hidden="1">Notes!$E$4985:$I$4997</definedName>
    <definedName name="NOTE_9690b" localSheetId="21" hidden="1">Notes!$E$4999:$Q$5007</definedName>
    <definedName name="NOTE_9690c" localSheetId="21" hidden="1">Notes!$E$5009:$O$5017</definedName>
    <definedName name="Parameter_ColsHide" localSheetId="12" hidden="1">"A:A,C:G,AA:AD"</definedName>
    <definedName name="Parameter_ColsHide" localSheetId="15" hidden="1">"A:A,C:G,AA:AD"</definedName>
    <definedName name="Parameter_ColsHide" localSheetId="16" hidden="1">"A:D"</definedName>
    <definedName name="Parameter_ColsHide" localSheetId="7" hidden="1">"A:D"</definedName>
    <definedName name="Parameter_ColsHide" localSheetId="18" hidden="1">"A:B"</definedName>
    <definedName name="Parameter_ColsHide" localSheetId="10">"A:B"</definedName>
    <definedName name="Parameter_ColsHide" localSheetId="9" hidden="1">"A:B"</definedName>
    <definedName name="Parameter_ColsHide" localSheetId="13" hidden="1">"A:A,C:G"</definedName>
    <definedName name="Parameter_ColsHide" localSheetId="2" hidden="1">"D:D,I:I"</definedName>
    <definedName name="Parameter_ColsHide" localSheetId="17" hidden="1">"A:B"</definedName>
    <definedName name="Parameter_ColsHide" localSheetId="8" hidden="1">"A:B"</definedName>
    <definedName name="Parameter_ColsHide" localSheetId="1" hidden="1">"G:H"</definedName>
    <definedName name="Parameter_ColsHide" localSheetId="20" hidden="1">"A:C"</definedName>
    <definedName name="Parameter_ColsHide" localSheetId="21" hidden="1">"A:E"</definedName>
    <definedName name="Parameter_ColsHide" localSheetId="19">"A:B"</definedName>
    <definedName name="Parameter_ColsHide" localSheetId="3" hidden="1">"A:C,H:H"</definedName>
    <definedName name="Parameter_ColsHide" localSheetId="6" hidden="1">"A:B"</definedName>
    <definedName name="Parameter_ColsHide" localSheetId="5" hidden="1">"A:B"</definedName>
    <definedName name="Parameter_ColsHide" localSheetId="4" hidden="1">"A:B"</definedName>
    <definedName name="Parameter_ColsHide" localSheetId="11" hidden="1">"A:C"</definedName>
    <definedName name="Parameter_ColsHide" localSheetId="14" hidden="1">"A:A,C:G,AA:AD"</definedName>
    <definedName name="Parameter_EntryNum" localSheetId="12" hidden="1">AJE!$F$4</definedName>
    <definedName name="Parameter_EntryNum" localSheetId="15" hidden="1">'AJE1'!$F$4</definedName>
    <definedName name="Parameter_EntryNum" localSheetId="13" hidden="1">CFJE!$F$4</definedName>
    <definedName name="Parameter_EntryNum" localSheetId="14" hidden="1">UJE!$F$4</definedName>
    <definedName name="Parameter_RowsHide" localSheetId="12" hidden="1">"1:3"</definedName>
    <definedName name="Parameter_RowsHide" localSheetId="15" hidden="1">"1:3"</definedName>
    <definedName name="Parameter_RowsHide" localSheetId="16" hidden="1">"1:1"</definedName>
    <definedName name="Parameter_RowsHide" localSheetId="7" hidden="1">"1:1"</definedName>
    <definedName name="Parameter_RowsHide" localSheetId="18" hidden="1">"1:1"</definedName>
    <definedName name="Parameter_RowsHide" localSheetId="10">"1:2"</definedName>
    <definedName name="Parameter_RowsHide" localSheetId="9" hidden="1">"1:1"</definedName>
    <definedName name="Parameter_RowsHide" localSheetId="13" hidden="1">"1:3"</definedName>
    <definedName name="Parameter_RowsHide" localSheetId="17" hidden="1">"1:1"</definedName>
    <definedName name="Parameter_RowsHide" localSheetId="8" hidden="1">"1:1"</definedName>
    <definedName name="Parameter_RowsHide" localSheetId="1" hidden="1">"1:1"</definedName>
    <definedName name="Parameter_RowsHide" localSheetId="20" hidden="1">"1:1,7:7"</definedName>
    <definedName name="Parameter_RowsHide" localSheetId="21" hidden="1">"1:1"</definedName>
    <definedName name="Parameter_RowsHide" localSheetId="19">"1:2"</definedName>
    <definedName name="Parameter_RowsHide" localSheetId="3" hidden="1">"1:1,6:7"</definedName>
    <definedName name="Parameter_RowsHide" localSheetId="6" hidden="1">"1:2"</definedName>
    <definedName name="Parameter_RowsHide" localSheetId="5" hidden="1">"1:1,6:7"</definedName>
    <definedName name="Parameter_RowsHide" localSheetId="4" hidden="1">"1:1,6:7"</definedName>
    <definedName name="Parameter_RowsHide" localSheetId="11" hidden="1">"1:1,5:5"</definedName>
    <definedName name="Parameter_RowsHide" localSheetId="14" hidden="1">"1:3"</definedName>
    <definedName name="Parameter_TableCli" localSheetId="12" hidden="1">"1"</definedName>
    <definedName name="Parameter_TableCli" localSheetId="15" hidden="1">"1"</definedName>
    <definedName name="Parameter_TableCli" localSheetId="16" hidden="1">"1"</definedName>
    <definedName name="Parameter_TableCli" localSheetId="7" hidden="1">"1"</definedName>
    <definedName name="Parameter_TableCli" localSheetId="18" hidden="1">"1"</definedName>
    <definedName name="Parameter_TableCli" localSheetId="10">"1"</definedName>
    <definedName name="Parameter_TableCli" localSheetId="9" hidden="1">"1"</definedName>
    <definedName name="Parameter_TableCli" localSheetId="13" hidden="1">"1"</definedName>
    <definedName name="Parameter_TableCli" localSheetId="22" hidden="1">"-1"</definedName>
    <definedName name="Parameter_TableCli" localSheetId="23" hidden="1">"-1"</definedName>
    <definedName name="Parameter_TableCli" localSheetId="2" hidden="1">"1"</definedName>
    <definedName name="Parameter_TableCli" localSheetId="17" hidden="1">"1"</definedName>
    <definedName name="Parameter_TableCli" localSheetId="8" hidden="1">"1"</definedName>
    <definedName name="Parameter_TableCli" localSheetId="1" hidden="1">"-1"</definedName>
    <definedName name="Parameter_TableCli" localSheetId="20" hidden="1">"1"</definedName>
    <definedName name="Parameter_TableCli" localSheetId="21" hidden="1">"1"</definedName>
    <definedName name="Parameter_TableCli" localSheetId="19">"1"</definedName>
    <definedName name="Parameter_TableCli" localSheetId="3" hidden="1">"1"</definedName>
    <definedName name="Parameter_TableCli" localSheetId="6" hidden="1">"1"</definedName>
    <definedName name="Parameter_TableCli" localSheetId="5" hidden="1">"1"</definedName>
    <definedName name="Parameter_TableCli" localSheetId="4" hidden="1">"1"</definedName>
    <definedName name="Parameter_TableCli" localSheetId="11" hidden="1">"1"</definedName>
    <definedName name="Parameter_TableCli" localSheetId="14"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12" hidden="1">"IND"</definedName>
    <definedName name="Parameter_TableCon" localSheetId="15" hidden="1">"IND"</definedName>
    <definedName name="Parameter_TableCon" localSheetId="16" hidden="1">"IND"</definedName>
    <definedName name="Parameter_TableCon" localSheetId="7" hidden="1">"IND"</definedName>
    <definedName name="Parameter_TableCon" localSheetId="18" hidden="1">"IND"</definedName>
    <definedName name="Parameter_TableCon" localSheetId="10">"IND"</definedName>
    <definedName name="Parameter_TableCon" localSheetId="9" hidden="1">"IND"</definedName>
    <definedName name="Parameter_TableCon" localSheetId="13" hidden="1">"IND"</definedName>
    <definedName name="Parameter_TableCon" localSheetId="22" hidden="1">"IND"</definedName>
    <definedName name="Parameter_TableCon" localSheetId="23" hidden="1">"IND"</definedName>
    <definedName name="Parameter_TableCon" localSheetId="2" hidden="1">"GEN"</definedName>
    <definedName name="Parameter_TableCon" localSheetId="17" hidden="1">"IND"</definedName>
    <definedName name="Parameter_TableCon" localSheetId="8" hidden="1">"IND"</definedName>
    <definedName name="Parameter_TableCon" localSheetId="1" hidden="1">"IND"</definedName>
    <definedName name="Parameter_TableCon" localSheetId="20" hidden="1">"GEN"</definedName>
    <definedName name="Parameter_TableCon" localSheetId="21" hidden="1">"IND"</definedName>
    <definedName name="Parameter_TableCon" localSheetId="19">"IND"</definedName>
    <definedName name="Parameter_TableCon" localSheetId="3" hidden="1">"IND"</definedName>
    <definedName name="Parameter_TableCon" localSheetId="6" hidden="1">"IND"</definedName>
    <definedName name="Parameter_TableCon" localSheetId="5" hidden="1">"IND"</definedName>
    <definedName name="Parameter_TableCon" localSheetId="4" hidden="1">"IND"</definedName>
    <definedName name="Parameter_TableCon" localSheetId="11" hidden="1">"IND"</definedName>
    <definedName name="Parameter_TableCon" localSheetId="14"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6" hidden="1">"2:4"</definedName>
    <definedName name="Parameter_TableHeaders" localSheetId="7" hidden="1">"2:4"</definedName>
    <definedName name="Parameter_TableHeaders" localSheetId="18" hidden="1">"2:5"</definedName>
    <definedName name="Parameter_TableHeaders" localSheetId="10">"3:5"</definedName>
    <definedName name="Parameter_TableHeaders" localSheetId="9" hidden="1">"2:5"</definedName>
    <definedName name="Parameter_TableHeaders" localSheetId="2">"2:6"</definedName>
    <definedName name="Parameter_TableHeaders" localSheetId="17" hidden="1">"2:5"</definedName>
    <definedName name="Parameter_TableHeaders" localSheetId="8" hidden="1">"2:5"</definedName>
    <definedName name="Parameter_TableHeaders" localSheetId="20" hidden="1">"2:6"</definedName>
    <definedName name="Parameter_TableHeaders" localSheetId="21" hidden="1">"2:6"</definedName>
    <definedName name="Parameter_TableHeaders" localSheetId="19">"3:5"</definedName>
    <definedName name="Parameter_TableHeaders" localSheetId="3" hidden="1">"2:5"</definedName>
    <definedName name="Parameter_TableHeaders" localSheetId="6" hidden="1">"3:5"</definedName>
    <definedName name="Parameter_TableHeaders" localSheetId="5" hidden="1">"2:5"</definedName>
    <definedName name="Parameter_TableHeaders" localSheetId="4" hidden="1">"2:5"</definedName>
    <definedName name="Parameter_TableHeaders" localSheetId="11"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12" hidden="1">"JE"</definedName>
    <definedName name="Parameter_TableName" localSheetId="15" hidden="1">"JE"</definedName>
    <definedName name="Parameter_TableName" localSheetId="16" hidden="1">"BS"</definedName>
    <definedName name="Parameter_TableName" localSheetId="7" hidden="1">"BS"</definedName>
    <definedName name="Parameter_TableName" localSheetId="18" hidden="1">"CF"</definedName>
    <definedName name="Parameter_TableName" localSheetId="10">"CE"</definedName>
    <definedName name="Parameter_TableName" localSheetId="9" hidden="1">"CF"</definedName>
    <definedName name="Parameter_TableName" localSheetId="13" hidden="1">"JE"</definedName>
    <definedName name="Parameter_TableName" localSheetId="22" hidden="1">"WP"</definedName>
    <definedName name="Parameter_TableName" localSheetId="23" hidden="1">"WP"</definedName>
    <definedName name="Parameter_TableName" localSheetId="2" hidden="1">"OT"</definedName>
    <definedName name="Parameter_TableName" localSheetId="17" hidden="1">"IS"</definedName>
    <definedName name="Parameter_TableName" localSheetId="8" hidden="1">"IS"</definedName>
    <definedName name="Parameter_TableName" localSheetId="1" hidden="1">"ME"</definedName>
    <definedName name="Parameter_TableName" localSheetId="20" hidden="1">"OT"</definedName>
    <definedName name="Parameter_TableName" localSheetId="21" hidden="1">"NO"</definedName>
    <definedName name="Parameter_TableName" localSheetId="19">"CE"</definedName>
    <definedName name="Parameter_TableName" localSheetId="3" hidden="1">"BS"</definedName>
    <definedName name="Parameter_TableName" localSheetId="6" hidden="1">"CE"</definedName>
    <definedName name="Parameter_TableName" localSheetId="5" hidden="1">"CF"</definedName>
    <definedName name="Parameter_TableName" localSheetId="4" hidden="1">"IS"</definedName>
    <definedName name="Parameter_TableName" localSheetId="11" hidden="1">"TB"</definedName>
    <definedName name="Parameter_TableName" localSheetId="14"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12" hidden="1">"-1"</definedName>
    <definedName name="Parameter_TableRep" localSheetId="15" hidden="1">"-1"</definedName>
    <definedName name="Parameter_TableRep" localSheetId="16" hidden="1">"1"</definedName>
    <definedName name="Parameter_TableRep" localSheetId="7" hidden="1">"1"</definedName>
    <definedName name="Parameter_TableRep" localSheetId="18" hidden="1">"3"</definedName>
    <definedName name="Parameter_TableRep" localSheetId="10">"4"</definedName>
    <definedName name="Parameter_TableRep" localSheetId="9" hidden="1">"3"</definedName>
    <definedName name="Parameter_TableRep" localSheetId="13" hidden="1">"-1"</definedName>
    <definedName name="Parameter_TableRep" localSheetId="22" hidden="1">"-1"</definedName>
    <definedName name="Parameter_TableRep" localSheetId="23" hidden="1">"-1"</definedName>
    <definedName name="Parameter_TableRep" localSheetId="2" hidden="1">"-1"</definedName>
    <definedName name="Parameter_TableRep" localSheetId="17" hidden="1">"2"</definedName>
    <definedName name="Parameter_TableRep" localSheetId="8" hidden="1">"2"</definedName>
    <definedName name="Parameter_TableRep" localSheetId="1" hidden="1">"-1"</definedName>
    <definedName name="Parameter_TableRep" localSheetId="20" hidden="1">"-1"</definedName>
    <definedName name="Parameter_TableRep" localSheetId="21" hidden="1">"-1"</definedName>
    <definedName name="Parameter_TableRep" localSheetId="19">"4"</definedName>
    <definedName name="Parameter_TableRep" localSheetId="3" hidden="1">"-1"</definedName>
    <definedName name="Parameter_TableRep" localSheetId="6" hidden="1">"-1"</definedName>
    <definedName name="Parameter_TableRep" localSheetId="5" hidden="1">"-1"</definedName>
    <definedName name="Parameter_TableRep" localSheetId="4" hidden="1">"-1"</definedName>
    <definedName name="Parameter_TableRep" localSheetId="11" hidden="1">"-1"</definedName>
    <definedName name="Parameter_TableRep" localSheetId="14"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12" hidden="1">"A11.03GEN"</definedName>
    <definedName name="Parameter_TableTem" localSheetId="15" hidden="1">"A11.03GEN"</definedName>
    <definedName name="Parameter_TableTem" localSheetId="16" hidden="1">"A11.03GEN"</definedName>
    <definedName name="Parameter_TableTem" localSheetId="7" hidden="1">"A11.03GEN"</definedName>
    <definedName name="Parameter_TableTem" localSheetId="18" hidden="1">"A11.03GEN"</definedName>
    <definedName name="Parameter_TableTem" localSheetId="10">"A11.03GEN"</definedName>
    <definedName name="Parameter_TableTem" localSheetId="9" hidden="1">"A11.03GEN"</definedName>
    <definedName name="Parameter_TableTem" localSheetId="13" hidden="1">"A11.03GEN"</definedName>
    <definedName name="Parameter_TableTem" localSheetId="22" hidden="1">"A11.03GEN"</definedName>
    <definedName name="Parameter_TableTem" localSheetId="23" hidden="1">"A11.03GEN"</definedName>
    <definedName name="Parameter_TableTem" localSheetId="2" hidden="1">"A11.03GEN"</definedName>
    <definedName name="Parameter_TableTem" localSheetId="17" hidden="1">"A11.03GEN"</definedName>
    <definedName name="Parameter_TableTem" localSheetId="8" hidden="1">"A11.03GEN"</definedName>
    <definedName name="Parameter_TableTem" localSheetId="1" hidden="1">"A11.03GEN"</definedName>
    <definedName name="Parameter_TableTem" localSheetId="20" hidden="1">"A11.03GEN"</definedName>
    <definedName name="Parameter_TableTem" localSheetId="21" hidden="1">"A11.03GEN"</definedName>
    <definedName name="Parameter_TableTem" localSheetId="19">"A11.03GEN"</definedName>
    <definedName name="Parameter_TableTem" localSheetId="3" hidden="1">"A11.03GEN"</definedName>
    <definedName name="Parameter_TableTem" localSheetId="6" hidden="1">"A11.03GEN"</definedName>
    <definedName name="Parameter_TableTem" localSheetId="5" hidden="1">"A11.03GEN"</definedName>
    <definedName name="Parameter_TableTem" localSheetId="4" hidden="1">"A11.03GEN"</definedName>
    <definedName name="Parameter_TableTem" localSheetId="11" hidden="1">"A11.03GEN"</definedName>
    <definedName name="Parameter_TableTem" localSheetId="14"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12" hidden="1">"WPERE211.1225"</definedName>
    <definedName name="Parameter_TableVersion" localSheetId="15" hidden="1">"WPERE211.1225"</definedName>
    <definedName name="Parameter_TableVersion" localSheetId="16" hidden="1">"WPERE211.1225"</definedName>
    <definedName name="Parameter_TableVersion" localSheetId="7" hidden="1">"WPERE211.1225"</definedName>
    <definedName name="Parameter_TableVersion" localSheetId="18" hidden="1">"WPERE211.1225"</definedName>
    <definedName name="Parameter_TableVersion" localSheetId="10">"WPERE211.1225"</definedName>
    <definedName name="Parameter_TableVersion" localSheetId="9" hidden="1">"WPERE211.1225"</definedName>
    <definedName name="Parameter_TableVersion" localSheetId="13" hidden="1">"WPERE211.1225"</definedName>
    <definedName name="Parameter_TableVersion" localSheetId="22" hidden="1">"WPERE211.1225"</definedName>
    <definedName name="Parameter_TableVersion" localSheetId="23" hidden="1">"WPERE211.1225"</definedName>
    <definedName name="Parameter_TableVersion" localSheetId="2" hidden="1">"WPERE211.1225"</definedName>
    <definedName name="Parameter_TableVersion" localSheetId="17" hidden="1">"WPERE211.1225"</definedName>
    <definedName name="Parameter_TableVersion" localSheetId="8" hidden="1">"WPERE211.1225"</definedName>
    <definedName name="Parameter_TableVersion" localSheetId="1" hidden="1">"WPERE211.1225"</definedName>
    <definedName name="Parameter_TableVersion" localSheetId="20"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19">"WPERE211.1225"</definedName>
    <definedName name="Parameter_TableVersion" localSheetId="3" hidden="1">"WPERE211.1225"</definedName>
    <definedName name="Parameter_TableVersion" localSheetId="6" hidden="1">"WPERE211.1225"</definedName>
    <definedName name="Parameter_TableVersion" localSheetId="5" hidden="1">"WPERE211.1225"</definedName>
    <definedName name="Parameter_TableVersion" localSheetId="4" hidden="1">"WPERE211.1225"</definedName>
    <definedName name="Parameter_TableVersion" localSheetId="24" hidden="1">"WPERE211.1225"</definedName>
    <definedName name="Parameter_TableVersion" localSheetId="0" hidden="1">"WPERE211.1225"</definedName>
    <definedName name="Parameter_TableVersion" localSheetId="11" hidden="1">"WPERE211.1225"</definedName>
    <definedName name="Parameter_TableVersion" localSheetId="25" hidden="1">"WPERE211.1225"</definedName>
    <definedName name="Parameter_TableVersion" localSheetId="14"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12">AJE!$I$4:$P$48</definedName>
    <definedName name="_xlnm.Print_Area" localSheetId="15">'AJE1'!$I$4:$P$48</definedName>
    <definedName name="_xlnm.Print_Area" localSheetId="16">BalanceSheet!$E$2:$L$61</definedName>
    <definedName name="_xlnm.Print_Area" localSheetId="7">BS!$E$2:$L$52</definedName>
    <definedName name="_xlnm.Print_Area" localSheetId="18">CashFlow!$C$2:$F$62</definedName>
    <definedName name="_xlnm.Print_Area" localSheetId="10">CE!$C$3:$AC$37</definedName>
    <definedName name="_xlnm.Print_Area" localSheetId="9">CF!$C$2:$F$45</definedName>
    <definedName name="_xlnm.Print_Area" localSheetId="13">CFJE!$I$4:$P$49</definedName>
    <definedName name="_xlnm.Print_Area" localSheetId="22">CFWP1!$B$2:$J$113</definedName>
    <definedName name="_xlnm.Print_Area" localSheetId="23">CFWP2!$B$2:$I$196</definedName>
    <definedName name="_xlnm.Print_Area" localSheetId="2">Checks!$B$2:$N$85</definedName>
    <definedName name="_xlnm.Print_Area" localSheetId="17">IncomeStatement!$C$2:$F$70</definedName>
    <definedName name="_xlnm.Print_Area" localSheetId="8">IS!$C$2:$F$57</definedName>
    <definedName name="_xlnm.Print_Area" localSheetId="1">Lead!$B$3:$K$59</definedName>
    <definedName name="_xlnm.Print_Area" localSheetId="20">noteChecks!$D$2:$N$409</definedName>
    <definedName name="_xlnm.Print_Area" localSheetId="21">Notes!$G$2:$R$6249</definedName>
    <definedName name="_xlnm.Print_Area" localSheetId="19">OwnersEquity!$C$3:$AC$38</definedName>
    <definedName name="_xlnm.Print_Area" localSheetId="3">preBS!$D$2:$L$69</definedName>
    <definedName name="_xlnm.Print_Area" localSheetId="6">preCE!$C$3:$AE$41</definedName>
    <definedName name="_xlnm.Print_Area" localSheetId="5">preCF!$C$2:$F$66</definedName>
    <definedName name="_xlnm.Print_Area" localSheetId="4">preIS!$C$2:$F$81</definedName>
    <definedName name="_xlnm.Print_Area" localSheetId="11">TB!$E$2:$M$764</definedName>
    <definedName name="_xlnm.Print_Area" localSheetId="14">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12">AJE!$4:$8</definedName>
    <definedName name="_xlnm.Print_Titles" localSheetId="15">'AJE1'!$4:$8</definedName>
    <definedName name="_xlnm.Print_Titles" localSheetId="10">CE!$C:$C</definedName>
    <definedName name="_xlnm.Print_Titles" localSheetId="13">CFJE!$4:$8</definedName>
    <definedName name="_xlnm.Print_Titles" localSheetId="22">CFWP1!$2:$6</definedName>
    <definedName name="_xlnm.Print_Titles" localSheetId="23">CFWP2!$2:$6</definedName>
    <definedName name="_xlnm.Print_Titles" localSheetId="2">Checks!$2:$8</definedName>
    <definedName name="_xlnm.Print_Titles" localSheetId="20">noteChecks!$2:$8</definedName>
    <definedName name="_xlnm.Print_Titles" localSheetId="21">Notes!$2:$6</definedName>
    <definedName name="_xlnm.Print_Titles" localSheetId="19">OwnersEquity!$C:$C</definedName>
    <definedName name="_xlnm.Print_Titles" localSheetId="11">TB!$2:$8</definedName>
    <definedName name="_xlnm.Print_Titles" localSheetId="14">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12" hidden="1">AJE!$A$8:$AE$38</definedName>
    <definedName name="Sheet_Adjentry" localSheetId="15" hidden="1">'AJE1'!$A$8:$AE$38</definedName>
    <definedName name="Sheet_Adjentry" localSheetId="13" hidden="1">CFJE!$A$8:$T$38</definedName>
    <definedName name="Sheet_Adjentry" localSheetId="14"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6" hidden="1">BalanceSheet!$E$2:$L$2</definedName>
    <definedName name="Sheet_Caption1" localSheetId="7" hidden="1">BS!$E$2:$L$2</definedName>
    <definedName name="Sheet_Caption1" localSheetId="18" hidden="1">CashFlow!$C$2:$F$2</definedName>
    <definedName name="Sheet_Caption1" localSheetId="10" hidden="1">CE!$H$3</definedName>
    <definedName name="Sheet_Caption1" localSheetId="9" hidden="1">CF!$C$2:$F$2</definedName>
    <definedName name="Sheet_Caption1" localSheetId="17" hidden="1">IncomeStatement!$C$2:$F$2</definedName>
    <definedName name="Sheet_Caption1" localSheetId="8" hidden="1">IS!$C$2:$F$2</definedName>
    <definedName name="Sheet_Caption1" localSheetId="19" hidden="1">OwnersEquity!$H$3</definedName>
    <definedName name="Sheet_Caption2" localSheetId="10" hidden="1">CE!$T$3</definedName>
    <definedName name="Sheet_Caption2" localSheetId="19"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6" hidden="1">BalanceSheet!$E$65:$E$69</definedName>
    <definedName name="Sheet_Check1" localSheetId="7" hidden="1">BS!$E$56:$E$60</definedName>
    <definedName name="Sheet_Check1" localSheetId="18" hidden="1">CashFlow!$C$97:$C$101</definedName>
    <definedName name="Sheet_Check1" localSheetId="10" hidden="1">CE!$C$41:$C$45</definedName>
    <definedName name="Sheet_Check1" localSheetId="9" hidden="1">CF!$C$80:$C$84</definedName>
    <definedName name="Sheet_Check1" localSheetId="17" hidden="1">IncomeStatement!$C$74:$C$81</definedName>
    <definedName name="Sheet_Check1" localSheetId="8" hidden="1">IS!$C$61:$C$68</definedName>
    <definedName name="Sheet_Check1" localSheetId="21" hidden="1">Notes!$G$6251:$G$6255</definedName>
    <definedName name="Sheet_Check1" localSheetId="19" hidden="1">OwnersEquity!$C$42:$C$46</definedName>
    <definedName name="Sheet_Check1" localSheetId="3" hidden="1">preBS!$D$90:$D$97</definedName>
    <definedName name="Sheet_Check1" localSheetId="6" hidden="1">preCE!$C$45:$C$57</definedName>
    <definedName name="Sheet_Check1" localSheetId="5" hidden="1">preCF!$C$100:$C$129</definedName>
    <definedName name="Sheet_Check1" localSheetId="4" hidden="1">preIS!$C$85:$C$129</definedName>
    <definedName name="Sheet_Check1" localSheetId="11" hidden="1">TB!$E$784:$E$877</definedName>
    <definedName name="Sheet_Freeze1" localSheetId="12" hidden="1">AJE!$L$9</definedName>
    <definedName name="Sheet_Freeze1" localSheetId="15" hidden="1">'AJE1'!$L$9</definedName>
    <definedName name="Sheet_Freeze1" localSheetId="16" hidden="1">BalanceSheet!$F$7</definedName>
    <definedName name="Sheet_Freeze1" localSheetId="7" hidden="1">BS!$F$7</definedName>
    <definedName name="Sheet_Freeze1" localSheetId="18" hidden="1">CashFlow!$D$7</definedName>
    <definedName name="Sheet_Freeze1" localSheetId="10" hidden="1">CE!$D$9</definedName>
    <definedName name="Sheet_Freeze1" localSheetId="9" hidden="1">CF!$D$7</definedName>
    <definedName name="Sheet_Freeze1" localSheetId="13" hidden="1">CFJE!$L$9</definedName>
    <definedName name="Sheet_Freeze1" localSheetId="17" hidden="1">IncomeStatement!$D$7</definedName>
    <definedName name="Sheet_Freeze1" localSheetId="8" hidden="1">IS!$D$7</definedName>
    <definedName name="Sheet_Freeze1" localSheetId="21" hidden="1">Notes!$H$8</definedName>
    <definedName name="Sheet_Freeze1" localSheetId="19" hidden="1">OwnersEquity!$D$9</definedName>
    <definedName name="Sheet_Freeze1" localSheetId="3" hidden="1">preBS!$E$9</definedName>
    <definedName name="Sheet_Freeze1" localSheetId="6" hidden="1">preCE!$D$9</definedName>
    <definedName name="Sheet_Freeze1" localSheetId="5" hidden="1">preCF!$D$9</definedName>
    <definedName name="Sheet_Freeze1" localSheetId="4" hidden="1">preIS!$D$9</definedName>
    <definedName name="Sheet_Freeze1" localSheetId="11" hidden="1">TB!$F$9</definedName>
    <definedName name="Sheet_Freeze1" localSheetId="14"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0"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11" hidden="1">TB!$E$9:$E$13</definedName>
    <definedName name="TBLink1900" localSheetId="11" hidden="1">TB!$E$717:$E$721</definedName>
    <definedName name="TBLink2000" localSheetId="11" hidden="1">TB!$E$65:$E$68</definedName>
    <definedName name="TBLink6000" localSheetId="11" hidden="1">TB!$E$126:$E$130</definedName>
    <definedName name="TBLink7000" localSheetId="11" hidden="1">TB!$E$656:$E$660</definedName>
    <definedName name="TBLink7500" localSheetId="11" hidden="1">TB!$E$735:$E$740</definedName>
    <definedName name="TBLink8000" localSheetId="11"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K5023" i="18" l="1"/>
  <c r="J5023" i="18"/>
  <c r="K5039" i="18"/>
  <c r="J5039" i="18"/>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F47" i="21"/>
  <c r="R9" i="2"/>
  <c r="S9" i="2"/>
  <c r="T9" i="2"/>
  <c r="U9" i="2"/>
  <c r="U14" i="2" s="1"/>
  <c r="V9" i="2"/>
  <c r="W9" i="2"/>
  <c r="X9" i="2"/>
  <c r="Y9" i="2"/>
  <c r="Y14" i="2" s="1"/>
  <c r="Z9" i="2"/>
  <c r="AA9" i="2"/>
  <c r="AB9" i="2"/>
  <c r="AC9" i="2"/>
  <c r="AC14" i="2" s="1"/>
  <c r="AD9" i="2"/>
  <c r="R10" i="2"/>
  <c r="S10" i="2"/>
  <c r="T10" i="2"/>
  <c r="U10" i="2"/>
  <c r="V10" i="2"/>
  <c r="W10" i="2"/>
  <c r="X10" i="2"/>
  <c r="Y10" i="2"/>
  <c r="Z10" i="2"/>
  <c r="AA10" i="2"/>
  <c r="AB10" i="2"/>
  <c r="AC10" i="2"/>
  <c r="AD10" i="2"/>
  <c r="R11" i="2"/>
  <c r="R14" i="2" s="1"/>
  <c r="S11" i="2"/>
  <c r="S14" i="2" s="1"/>
  <c r="T11" i="2"/>
  <c r="U11" i="2"/>
  <c r="V11" i="2"/>
  <c r="V14" i="2" s="1"/>
  <c r="W11" i="2"/>
  <c r="W14" i="2" s="1"/>
  <c r="X11" i="2"/>
  <c r="Y11" i="2"/>
  <c r="Z11" i="2"/>
  <c r="Z14" i="2" s="1"/>
  <c r="AA11" i="2"/>
  <c r="AA14" i="2" s="1"/>
  <c r="AB11" i="2"/>
  <c r="AC11" i="2"/>
  <c r="AD11" i="2"/>
  <c r="AD14" i="2" s="1"/>
  <c r="R12" i="2"/>
  <c r="S12" i="2"/>
  <c r="T12" i="2"/>
  <c r="U12" i="2"/>
  <c r="V12" i="2"/>
  <c r="W12" i="2"/>
  <c r="X12" i="2"/>
  <c r="Y12" i="2"/>
  <c r="Z12" i="2"/>
  <c r="AA12" i="2"/>
  <c r="AB12" i="2"/>
  <c r="AC12" i="2"/>
  <c r="AD12" i="2"/>
  <c r="R13" i="2"/>
  <c r="S13" i="2"/>
  <c r="T13" i="2"/>
  <c r="U13" i="2"/>
  <c r="V13" i="2"/>
  <c r="W13" i="2"/>
  <c r="X13" i="2"/>
  <c r="Y13" i="2"/>
  <c r="Z13" i="2"/>
  <c r="AA13" i="2"/>
  <c r="AB13" i="2"/>
  <c r="AC13" i="2"/>
  <c r="AD13" i="2"/>
  <c r="T14" i="2"/>
  <c r="X14" i="2"/>
  <c r="AB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R19" i="2" s="1"/>
  <c r="S20" i="2"/>
  <c r="T20" i="2"/>
  <c r="T19" i="2" s="1"/>
  <c r="U20" i="2"/>
  <c r="U19" i="2" s="1"/>
  <c r="V20" i="2"/>
  <c r="V19" i="2" s="1"/>
  <c r="W20" i="2"/>
  <c r="X20" i="2"/>
  <c r="X19" i="2" s="1"/>
  <c r="Y20" i="2"/>
  <c r="Y19" i="2" s="1"/>
  <c r="Z20" i="2"/>
  <c r="Z19" i="2" s="1"/>
  <c r="AA20" i="2"/>
  <c r="AB20" i="2"/>
  <c r="AB19" i="2" s="1"/>
  <c r="AC20" i="2"/>
  <c r="AC19" i="2" s="1"/>
  <c r="AD20" i="2"/>
  <c r="AD19" i="2" s="1"/>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S19" i="2" s="1"/>
  <c r="S15" i="2" s="1"/>
  <c r="T23" i="2"/>
  <c r="U23" i="2"/>
  <c r="V23" i="2"/>
  <c r="W23" i="2"/>
  <c r="W19" i="2" s="1"/>
  <c r="W15" i="2" s="1"/>
  <c r="X23" i="2"/>
  <c r="Y23" i="2"/>
  <c r="Z23" i="2"/>
  <c r="AA23" i="2"/>
  <c r="AA19" i="2" s="1"/>
  <c r="AA15" i="2" s="1"/>
  <c r="AB23" i="2"/>
  <c r="AC23" i="2"/>
  <c r="AD23" i="2"/>
  <c r="R25" i="2"/>
  <c r="S25" i="2"/>
  <c r="S24" i="2" s="1"/>
  <c r="T25" i="2"/>
  <c r="T24" i="2" s="1"/>
  <c r="U25" i="2"/>
  <c r="U24" i="2" s="1"/>
  <c r="V25" i="2"/>
  <c r="W25" i="2"/>
  <c r="W24" i="2" s="1"/>
  <c r="X25" i="2"/>
  <c r="X24" i="2" s="1"/>
  <c r="Y25" i="2"/>
  <c r="Y24" i="2" s="1"/>
  <c r="Z25" i="2"/>
  <c r="AA25" i="2"/>
  <c r="AA24" i="2" s="1"/>
  <c r="AB25" i="2"/>
  <c r="AB24" i="2" s="1"/>
  <c r="AC25" i="2"/>
  <c r="AC24" i="2" s="1"/>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R24" i="2" s="1"/>
  <c r="S28" i="2"/>
  <c r="T28" i="2"/>
  <c r="U28" i="2"/>
  <c r="V28" i="2"/>
  <c r="V24" i="2" s="1"/>
  <c r="W28" i="2"/>
  <c r="X28" i="2"/>
  <c r="Y28" i="2"/>
  <c r="Z28" i="2"/>
  <c r="Z24" i="2" s="1"/>
  <c r="AA28" i="2"/>
  <c r="AB28" i="2"/>
  <c r="AC28" i="2"/>
  <c r="AD28" i="2"/>
  <c r="AD24" i="2" s="1"/>
  <c r="R30" i="2"/>
  <c r="R29" i="2" s="1"/>
  <c r="S30" i="2"/>
  <c r="S29" i="2" s="1"/>
  <c r="T30" i="2"/>
  <c r="T29" i="2" s="1"/>
  <c r="U30" i="2"/>
  <c r="V30" i="2"/>
  <c r="V29" i="2" s="1"/>
  <c r="W30" i="2"/>
  <c r="W29" i="2" s="1"/>
  <c r="X30" i="2"/>
  <c r="X29" i="2" s="1"/>
  <c r="Y30" i="2"/>
  <c r="Z30" i="2"/>
  <c r="Z29" i="2" s="1"/>
  <c r="AA30" i="2"/>
  <c r="AA29" i="2" s="1"/>
  <c r="AB30" i="2"/>
  <c r="AB29" i="2" s="1"/>
  <c r="AC30" i="2"/>
  <c r="AD30" i="2"/>
  <c r="AD29" i="2" s="1"/>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U29" i="2" s="1"/>
  <c r="V33" i="2"/>
  <c r="W33" i="2"/>
  <c r="X33" i="2"/>
  <c r="Y33" i="2"/>
  <c r="Y29" i="2" s="1"/>
  <c r="Z33" i="2"/>
  <c r="AA33" i="2"/>
  <c r="AB33" i="2"/>
  <c r="AC33" i="2"/>
  <c r="AC29" i="2" s="1"/>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6" i="2"/>
  <c r="V36" i="2"/>
  <c r="Z36" i="2"/>
  <c r="AD36" i="2"/>
  <c r="R37" i="2"/>
  <c r="S37" i="2"/>
  <c r="S36" i="2" s="1"/>
  <c r="T37" i="2"/>
  <c r="T36" i="2" s="1"/>
  <c r="U37" i="2"/>
  <c r="U36" i="2" s="1"/>
  <c r="V37" i="2"/>
  <c r="W37" i="2"/>
  <c r="W36" i="2" s="1"/>
  <c r="X37" i="2"/>
  <c r="X36" i="2" s="1"/>
  <c r="Y37" i="2"/>
  <c r="Y36" i="2" s="1"/>
  <c r="Z37" i="2"/>
  <c r="AA37" i="2"/>
  <c r="AA36" i="2" s="1"/>
  <c r="AB37" i="2"/>
  <c r="AB36" i="2" s="1"/>
  <c r="AC37" i="2"/>
  <c r="AC36" i="2" s="1"/>
  <c r="AD37" i="2"/>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4" i="8"/>
  <c r="F95" i="8"/>
  <c r="F96" i="8"/>
  <c r="F97" i="8"/>
  <c r="F9" i="8"/>
  <c r="F10" i="8"/>
  <c r="F11" i="8"/>
  <c r="F12" i="8"/>
  <c r="F13" i="8"/>
  <c r="F14" i="8"/>
  <c r="F15" i="8"/>
  <c r="F16" i="8"/>
  <c r="F17" i="8"/>
  <c r="F18" i="8"/>
  <c r="F19" i="8"/>
  <c r="F20" i="8"/>
  <c r="F21" i="8"/>
  <c r="F23" i="8" s="1"/>
  <c r="F22" i="8"/>
  <c r="F24" i="8"/>
  <c r="F25" i="8"/>
  <c r="F26" i="8"/>
  <c r="F27" i="8"/>
  <c r="F28" i="8"/>
  <c r="F29" i="8"/>
  <c r="F30" i="8"/>
  <c r="F31" i="8"/>
  <c r="F32" i="8"/>
  <c r="F33" i="8"/>
  <c r="F34" i="8" s="1"/>
  <c r="F35" i="8" s="1"/>
  <c r="F36" i="8"/>
  <c r="F37" i="8"/>
  <c r="F42" i="8" s="1"/>
  <c r="F38" i="8"/>
  <c r="F39" i="8"/>
  <c r="F40" i="8"/>
  <c r="F41" i="8"/>
  <c r="F43" i="8"/>
  <c r="F44" i="8"/>
  <c r="F45" i="8"/>
  <c r="F48" i="8" s="1"/>
  <c r="F49" i="8" s="1"/>
  <c r="F46" i="8"/>
  <c r="F47" i="8"/>
  <c r="F50" i="8"/>
  <c r="F51" i="8"/>
  <c r="F52" i="8"/>
  <c r="F53" i="8"/>
  <c r="F55" i="8" s="1"/>
  <c r="F54" i="8"/>
  <c r="F56" i="8"/>
  <c r="F60" i="8" s="1"/>
  <c r="F61" i="8" s="1"/>
  <c r="F57" i="8"/>
  <c r="F58" i="8"/>
  <c r="F59" i="8"/>
  <c r="F62" i="8"/>
  <c r="F64" i="8"/>
  <c r="F10" i="21"/>
  <c r="F9" i="21" s="1"/>
  <c r="F11" i="21"/>
  <c r="F12" i="21"/>
  <c r="F13" i="21"/>
  <c r="F15" i="21"/>
  <c r="F14" i="21" s="1"/>
  <c r="F16" i="21"/>
  <c r="F17" i="21"/>
  <c r="F18" i="21"/>
  <c r="F19" i="21"/>
  <c r="F20" i="21"/>
  <c r="F21" i="21"/>
  <c r="F22" i="21"/>
  <c r="F23" i="21"/>
  <c r="F24" i="21"/>
  <c r="F25" i="21"/>
  <c r="F26" i="21"/>
  <c r="F27" i="21"/>
  <c r="F28" i="21"/>
  <c r="F30" i="21"/>
  <c r="F31" i="21"/>
  <c r="F32" i="21"/>
  <c r="F33" i="21"/>
  <c r="F40" i="21" s="1"/>
  <c r="F43" i="21" s="1"/>
  <c r="F45" i="21" s="1"/>
  <c r="F34" i="21"/>
  <c r="F35" i="21"/>
  <c r="F36" i="21"/>
  <c r="F37" i="21"/>
  <c r="F38" i="21"/>
  <c r="F39" i="21"/>
  <c r="F41" i="21"/>
  <c r="F42" i="21"/>
  <c r="F44" i="21"/>
  <c r="F46" i="21"/>
  <c r="F48" i="21"/>
  <c r="F49" i="21"/>
  <c r="F51" i="21"/>
  <c r="F55" i="21"/>
  <c r="F54" i="21" s="1"/>
  <c r="F56" i="21"/>
  <c r="F57" i="21"/>
  <c r="F58" i="21"/>
  <c r="F59" i="21"/>
  <c r="F61" i="21"/>
  <c r="F60" i="21" s="1"/>
  <c r="F62" i="21"/>
  <c r="F63" i="21"/>
  <c r="F64" i="21"/>
  <c r="F65" i="21"/>
  <c r="F66" i="21"/>
  <c r="F67" i="21"/>
  <c r="F68" i="21"/>
  <c r="F69" i="21"/>
  <c r="F70" i="21"/>
  <c r="F71" i="21"/>
  <c r="F72" i="21"/>
  <c r="F73" i="21"/>
  <c r="F76" i="21" s="1"/>
  <c r="F77" i="21"/>
  <c r="F78" i="21"/>
  <c r="F79" i="21"/>
  <c r="F80" i="21"/>
  <c r="L9" i="7"/>
  <c r="L10" i="7"/>
  <c r="L11" i="7"/>
  <c r="L12" i="7"/>
  <c r="L13" i="7"/>
  <c r="L14" i="7"/>
  <c r="L15" i="7"/>
  <c r="L16" i="7"/>
  <c r="L17" i="7"/>
  <c r="L18" i="7"/>
  <c r="L19" i="7"/>
  <c r="L20" i="7"/>
  <c r="L21" i="7"/>
  <c r="L22" i="7"/>
  <c r="L23" i="7"/>
  <c r="L24" i="7"/>
  <c r="L25" i="7"/>
  <c r="L27" i="7"/>
  <c r="L26" i="7" s="1"/>
  <c r="L28" i="7"/>
  <c r="L29" i="7"/>
  <c r="L30" i="7"/>
  <c r="L31" i="7"/>
  <c r="L32" i="7"/>
  <c r="L33" i="7"/>
  <c r="L34" i="7"/>
  <c r="L36" i="7"/>
  <c r="L37" i="7"/>
  <c r="L51" i="7" s="1"/>
  <c r="L38" i="7"/>
  <c r="L39" i="7"/>
  <c r="L40" i="7"/>
  <c r="L41" i="7"/>
  <c r="L42" i="7"/>
  <c r="L44" i="7"/>
  <c r="L43" i="7" s="1"/>
  <c r="L45" i="7"/>
  <c r="L46" i="7"/>
  <c r="L47" i="7"/>
  <c r="L48" i="7"/>
  <c r="L49" i="7"/>
  <c r="L50" i="7"/>
  <c r="L53" i="7"/>
  <c r="L54" i="7"/>
  <c r="L55" i="7"/>
  <c r="L56" i="7"/>
  <c r="L57" i="7"/>
  <c r="L58" i="7"/>
  <c r="L59" i="7"/>
  <c r="L60" i="7"/>
  <c r="L65" i="7" s="1"/>
  <c r="L67" i="7" s="1"/>
  <c r="L61" i="7"/>
  <c r="L62" i="7"/>
  <c r="L63" i="7"/>
  <c r="L64" i="7"/>
  <c r="L66" i="7"/>
  <c r="G9" i="7"/>
  <c r="G10" i="7"/>
  <c r="G11" i="7"/>
  <c r="G12" i="7"/>
  <c r="G13" i="7"/>
  <c r="G14" i="7"/>
  <c r="G15" i="7"/>
  <c r="G16" i="7"/>
  <c r="G17" i="7"/>
  <c r="G18" i="7"/>
  <c r="G19" i="7"/>
  <c r="G20" i="7"/>
  <c r="G21" i="7"/>
  <c r="G22" i="7"/>
  <c r="G23" i="7"/>
  <c r="G24" i="7"/>
  <c r="G25" i="7"/>
  <c r="G26" i="7"/>
  <c r="G27" i="7"/>
  <c r="G28" i="7"/>
  <c r="G29" i="7"/>
  <c r="G30" i="7"/>
  <c r="G31" i="7"/>
  <c r="G35" i="7" s="1"/>
  <c r="G32" i="7"/>
  <c r="G33" i="7"/>
  <c r="G34" i="7"/>
  <c r="G36" i="7"/>
  <c r="G37" i="7"/>
  <c r="G38" i="7"/>
  <c r="G39" i="7"/>
  <c r="G40" i="7"/>
  <c r="G41" i="7"/>
  <c r="G42" i="7"/>
  <c r="G43" i="7"/>
  <c r="G44" i="7"/>
  <c r="G45" i="7"/>
  <c r="G46" i="7"/>
  <c r="G47" i="7"/>
  <c r="G48" i="7"/>
  <c r="G49" i="7"/>
  <c r="G51" i="7"/>
  <c r="G50" i="7" s="1"/>
  <c r="G67" i="7" s="1"/>
  <c r="G52" i="7"/>
  <c r="G53" i="7"/>
  <c r="G54" i="7"/>
  <c r="G55" i="7"/>
  <c r="G56" i="7"/>
  <c r="G57" i="7"/>
  <c r="G58" i="7"/>
  <c r="G59" i="7"/>
  <c r="G60" i="7"/>
  <c r="G61" i="7"/>
  <c r="G62" i="7"/>
  <c r="G63" i="7"/>
  <c r="G64" i="7"/>
  <c r="G65" i="7"/>
  <c r="G66" i="7"/>
  <c r="Z15" i="2" l="1"/>
  <c r="R15" i="2"/>
  <c r="AA40" i="2"/>
  <c r="S40" i="2"/>
  <c r="Z40" i="2"/>
  <c r="V40" i="2"/>
  <c r="AC15" i="2"/>
  <c r="Y15" i="2"/>
  <c r="Y40" i="2" s="1"/>
  <c r="U15" i="2"/>
  <c r="U40" i="2" s="1"/>
  <c r="T40" i="2"/>
  <c r="AD15" i="2"/>
  <c r="V15" i="2"/>
  <c r="W40" i="2"/>
  <c r="AC40" i="2"/>
  <c r="AD40" i="2"/>
  <c r="R40" i="2"/>
  <c r="T15" i="2"/>
  <c r="F98" i="8"/>
  <c r="F63" i="8"/>
  <c r="F65" i="8" s="1"/>
  <c r="F50" i="21"/>
  <c r="F53" i="21"/>
  <c r="F52" i="21" s="1"/>
  <c r="F74" i="21" s="1"/>
  <c r="L35" i="7"/>
  <c r="L52" i="7" s="1"/>
  <c r="L68" i="7" s="1"/>
  <c r="G68" i="7"/>
  <c r="H402" i="50"/>
  <c r="H383" i="50"/>
  <c r="H153" i="50"/>
  <c r="H124" i="50"/>
  <c r="G31" i="46"/>
  <c r="L15" i="50"/>
  <c r="L27" i="50"/>
  <c r="H330" i="50"/>
  <c r="H96" i="50"/>
  <c r="L33" i="46"/>
  <c r="L288" i="50"/>
  <c r="H56" i="50"/>
  <c r="H399" i="50"/>
  <c r="H15" i="50"/>
  <c r="H363" i="50"/>
  <c r="H176" i="50"/>
  <c r="H200" i="50"/>
  <c r="H134" i="50"/>
  <c r="H235" i="50"/>
  <c r="L195" i="50"/>
  <c r="H77" i="50"/>
  <c r="H164" i="50"/>
  <c r="H157" i="50"/>
  <c r="H382" i="50"/>
  <c r="H315" i="50"/>
  <c r="L57" i="50"/>
  <c r="L262" i="50"/>
  <c r="L261" i="50"/>
  <c r="H355" i="50"/>
  <c r="H252" i="50"/>
  <c r="L37" i="50"/>
  <c r="H266" i="50"/>
  <c r="H24" i="50"/>
  <c r="L148" i="50"/>
  <c r="H89" i="50"/>
  <c r="H234" i="50"/>
  <c r="L375" i="50"/>
  <c r="L204" i="50"/>
  <c r="L157" i="50"/>
  <c r="H249" i="50"/>
  <c r="L187" i="50"/>
  <c r="G20" i="46"/>
  <c r="H332" i="50"/>
  <c r="L169" i="50"/>
  <c r="L185" i="50"/>
  <c r="H32" i="50"/>
  <c r="H361" i="50"/>
  <c r="H21" i="50"/>
  <c r="H215" i="50"/>
  <c r="H299" i="50"/>
  <c r="L36" i="50"/>
  <c r="H130" i="50"/>
  <c r="H49" i="50"/>
  <c r="H317" i="50"/>
  <c r="H122" i="50"/>
  <c r="H28" i="50"/>
  <c r="H63" i="50"/>
  <c r="L112" i="50"/>
  <c r="L315" i="50"/>
  <c r="G17" i="46"/>
  <c r="H30" i="50"/>
  <c r="H346" i="50"/>
  <c r="H366" i="50"/>
  <c r="L201" i="50"/>
  <c r="H117" i="50"/>
  <c r="G58" i="46"/>
  <c r="L316" i="50"/>
  <c r="H54" i="50"/>
  <c r="H226" i="50"/>
  <c r="L289" i="50"/>
  <c r="L265" i="50"/>
  <c r="L15" i="46"/>
  <c r="L304" i="50"/>
  <c r="L141" i="50"/>
  <c r="G14" i="46"/>
  <c r="L181" i="50"/>
  <c r="H98" i="50"/>
  <c r="L14" i="50"/>
  <c r="L325" i="50"/>
  <c r="H104" i="50"/>
  <c r="L378" i="50"/>
  <c r="H94" i="50"/>
  <c r="L211" i="50"/>
  <c r="H80" i="50"/>
  <c r="L323" i="50"/>
  <c r="H337" i="50"/>
  <c r="L32" i="46"/>
  <c r="G19" i="46"/>
  <c r="L311" i="50"/>
  <c r="H344" i="50"/>
  <c r="H66" i="50"/>
  <c r="L267" i="50"/>
  <c r="L34" i="50"/>
  <c r="H97" i="50"/>
  <c r="L286" i="50"/>
  <c r="H192" i="50"/>
  <c r="L183" i="50"/>
  <c r="H334" i="50"/>
  <c r="H27" i="50"/>
  <c r="H145" i="50"/>
  <c r="H333" i="50"/>
  <c r="H259" i="50"/>
  <c r="L236" i="50"/>
  <c r="L10" i="46"/>
  <c r="L165" i="50"/>
  <c r="H62" i="50"/>
  <c r="H343" i="50"/>
  <c r="H74" i="50"/>
  <c r="L69" i="50"/>
  <c r="L217" i="50"/>
  <c r="L213" i="50"/>
  <c r="L164" i="50"/>
  <c r="H13" i="50"/>
  <c r="H114" i="50"/>
  <c r="H81" i="50"/>
  <c r="G22" i="46"/>
  <c r="H159" i="50"/>
  <c r="L42" i="46"/>
  <c r="L122" i="50"/>
  <c r="L292" i="50"/>
  <c r="L232" i="50"/>
  <c r="H39" i="50"/>
  <c r="H304" i="50"/>
  <c r="H242" i="50"/>
  <c r="G12" i="46"/>
  <c r="L254" i="50"/>
  <c r="H201" i="50"/>
  <c r="L402" i="50"/>
  <c r="H296" i="50"/>
  <c r="L30" i="46"/>
  <c r="H320" i="50"/>
  <c r="L321" i="50"/>
  <c r="H289" i="50"/>
  <c r="L61" i="50"/>
  <c r="H20" i="50"/>
  <c r="L215" i="50"/>
  <c r="L88" i="50"/>
  <c r="H284" i="50"/>
  <c r="H338" i="50"/>
  <c r="L38" i="46"/>
  <c r="H241" i="50"/>
  <c r="L116" i="50"/>
  <c r="L406" i="50"/>
  <c r="H67" i="50"/>
  <c r="L23" i="50"/>
  <c r="H50" i="50"/>
  <c r="G48" i="46"/>
  <c r="H358" i="50"/>
  <c r="H46" i="50"/>
  <c r="H223" i="50"/>
  <c r="L319" i="50"/>
  <c r="L266" i="50"/>
  <c r="L168" i="50"/>
  <c r="L18" i="46"/>
  <c r="H307" i="50"/>
  <c r="H78" i="50"/>
  <c r="H356" i="50"/>
  <c r="L62" i="50"/>
  <c r="H225" i="50"/>
  <c r="H341" i="50"/>
  <c r="H189" i="50"/>
  <c r="G28" i="46"/>
  <c r="H101" i="50"/>
  <c r="L40" i="46"/>
  <c r="L34" i="46"/>
  <c r="L196" i="50"/>
  <c r="H146" i="50"/>
  <c r="L278" i="50"/>
  <c r="H91" i="50"/>
  <c r="H128" i="50"/>
  <c r="H207" i="50"/>
  <c r="L163" i="50"/>
  <c r="H19" i="50"/>
  <c r="H85" i="50"/>
  <c r="H322" i="50"/>
  <c r="H11" i="50"/>
  <c r="H378" i="50"/>
  <c r="L263" i="50"/>
  <c r="L224" i="50"/>
  <c r="H290" i="50"/>
  <c r="G10" i="46"/>
  <c r="H216" i="50"/>
  <c r="H270" i="50"/>
  <c r="H219" i="50"/>
  <c r="L13" i="50"/>
  <c r="H345" i="50"/>
  <c r="H59" i="50"/>
  <c r="H112" i="50"/>
  <c r="G11" i="46"/>
  <c r="L225" i="50"/>
  <c r="H208" i="50"/>
  <c r="G42" i="46"/>
  <c r="H190" i="50"/>
  <c r="L150" i="50"/>
  <c r="L218" i="50"/>
  <c r="L198" i="50"/>
  <c r="H374" i="50"/>
  <c r="H82" i="50"/>
  <c r="H187" i="50"/>
  <c r="G30" i="46"/>
  <c r="G24" i="46"/>
  <c r="H23" i="50"/>
  <c r="L387" i="50"/>
  <c r="L234" i="50"/>
  <c r="L26" i="46"/>
  <c r="L332" i="50"/>
  <c r="H168" i="50"/>
  <c r="H375" i="50"/>
  <c r="H364" i="50"/>
  <c r="H158" i="50"/>
  <c r="L331" i="50"/>
  <c r="L251" i="50"/>
  <c r="L333" i="50"/>
  <c r="H121" i="50"/>
  <c r="H342" i="50"/>
  <c r="H306" i="50"/>
  <c r="L235" i="50"/>
  <c r="H357" i="50"/>
  <c r="L320" i="50"/>
  <c r="H99" i="50"/>
  <c r="L85" i="50"/>
  <c r="L131" i="50"/>
  <c r="H38" i="50"/>
  <c r="L327" i="50"/>
  <c r="G18" i="46"/>
  <c r="L46" i="46"/>
  <c r="H184" i="50"/>
  <c r="H152" i="50"/>
  <c r="H172" i="50"/>
  <c r="H218" i="50"/>
  <c r="G26" i="46"/>
  <c r="L17" i="46"/>
  <c r="L118" i="50"/>
  <c r="L376" i="50"/>
  <c r="L46" i="50"/>
  <c r="H120" i="50"/>
  <c r="L324" i="50"/>
  <c r="H354" i="50"/>
  <c r="H278" i="50"/>
  <c r="G32" i="46"/>
  <c r="H144" i="50"/>
  <c r="H339" i="50"/>
  <c r="L279" i="50"/>
  <c r="L45" i="50"/>
  <c r="L27" i="46"/>
  <c r="H310" i="50"/>
  <c r="H316" i="50"/>
  <c r="H232" i="50"/>
  <c r="H16" i="50"/>
  <c r="L329" i="50"/>
  <c r="L22" i="50"/>
  <c r="H42" i="50"/>
  <c r="H43" i="50"/>
  <c r="L39" i="46"/>
  <c r="L99" i="50"/>
  <c r="H135" i="50"/>
  <c r="H279" i="50"/>
  <c r="H224" i="50"/>
  <c r="H12" i="50"/>
  <c r="H69" i="50"/>
  <c r="L29" i="46"/>
  <c r="L35" i="46"/>
  <c r="H55" i="50"/>
  <c r="L177" i="50"/>
  <c r="H237" i="50"/>
  <c r="L72" i="50"/>
  <c r="H70" i="50"/>
  <c r="L113" i="50"/>
  <c r="H68" i="50"/>
  <c r="H253" i="50"/>
  <c r="L87" i="50"/>
  <c r="H93" i="50"/>
  <c r="L63" i="50"/>
  <c r="L268" i="50"/>
  <c r="H133" i="50"/>
  <c r="H245" i="50"/>
  <c r="H161" i="50"/>
  <c r="L257" i="50"/>
  <c r="L401" i="50"/>
  <c r="L159" i="50"/>
  <c r="H295" i="50"/>
  <c r="L237" i="50"/>
  <c r="H154" i="50"/>
  <c r="H185" i="50"/>
  <c r="L20" i="46"/>
  <c r="L377" i="50"/>
  <c r="L386" i="50"/>
  <c r="L179" i="50"/>
  <c r="H84" i="50"/>
  <c r="L306" i="50"/>
  <c r="H398" i="50"/>
  <c r="G34" i="46"/>
  <c r="H95" i="50"/>
  <c r="H210" i="50"/>
  <c r="L295" i="50"/>
  <c r="L298" i="50"/>
  <c r="H265" i="50"/>
  <c r="H188" i="50"/>
  <c r="H116" i="50"/>
  <c r="H294" i="50"/>
  <c r="L287" i="50"/>
  <c r="L270" i="50"/>
  <c r="G21" i="46"/>
  <c r="H231" i="50"/>
  <c r="H298" i="50"/>
  <c r="H29" i="50"/>
  <c r="H288" i="50"/>
  <c r="G13" i="46"/>
  <c r="H40" i="50"/>
  <c r="H250" i="50"/>
  <c r="H76" i="50"/>
  <c r="L305" i="50"/>
  <c r="H308" i="50"/>
  <c r="H206" i="50"/>
  <c r="L380" i="50"/>
  <c r="H141" i="50"/>
  <c r="H71" i="50"/>
  <c r="H359" i="50"/>
  <c r="L197" i="50"/>
  <c r="L250" i="50"/>
  <c r="H258" i="50"/>
  <c r="L12" i="50"/>
  <c r="L291" i="50"/>
  <c r="L90" i="50"/>
  <c r="L334" i="50"/>
  <c r="H155" i="50"/>
  <c r="H73" i="50"/>
  <c r="H132" i="50"/>
  <c r="H151" i="50"/>
  <c r="H267" i="50"/>
  <c r="H195" i="50"/>
  <c r="L322" i="50"/>
  <c r="H33" i="50"/>
  <c r="H170" i="50"/>
  <c r="H131" i="50"/>
  <c r="L100" i="50"/>
  <c r="H45" i="50"/>
  <c r="L60" i="50"/>
  <c r="H368" i="50"/>
  <c r="L24" i="46"/>
  <c r="L68" i="50"/>
  <c r="L147" i="50"/>
  <c r="H53" i="50"/>
  <c r="H149" i="50"/>
  <c r="H321" i="50"/>
  <c r="H205" i="50"/>
  <c r="L44" i="46"/>
  <c r="H251" i="50"/>
  <c r="L374" i="50"/>
  <c r="H328" i="50"/>
  <c r="H37" i="50"/>
  <c r="H292" i="50"/>
  <c r="L28" i="46"/>
  <c r="L84" i="50"/>
  <c r="H48" i="50"/>
  <c r="H340" i="50"/>
  <c r="H51" i="50"/>
  <c r="H386" i="50"/>
  <c r="L124" i="50"/>
  <c r="L178" i="50"/>
  <c r="H376" i="50"/>
  <c r="H31" i="50"/>
  <c r="H311" i="50"/>
  <c r="L233" i="50"/>
  <c r="H380" i="50"/>
  <c r="H22" i="50"/>
  <c r="L310" i="50"/>
  <c r="L200" i="50"/>
  <c r="H256" i="50"/>
  <c r="L372" i="50"/>
  <c r="L21" i="46"/>
  <c r="H181" i="50"/>
  <c r="H64" i="50"/>
  <c r="H165" i="50"/>
  <c r="H75" i="50"/>
  <c r="H57" i="50"/>
  <c r="H142" i="50"/>
  <c r="H14" i="50"/>
  <c r="L299" i="50"/>
  <c r="L373" i="50"/>
  <c r="H79" i="50"/>
  <c r="L43" i="46"/>
  <c r="H255" i="50"/>
  <c r="H268" i="50"/>
  <c r="H41" i="50"/>
  <c r="H209" i="50"/>
  <c r="L156" i="50"/>
  <c r="H160" i="50"/>
  <c r="H287" i="50"/>
  <c r="H236" i="50"/>
  <c r="H318" i="50"/>
  <c r="L317" i="50"/>
  <c r="H171" i="50"/>
  <c r="L253" i="50"/>
  <c r="G16" i="46"/>
  <c r="L399" i="50"/>
  <c r="H113" i="50"/>
  <c r="H323" i="50"/>
  <c r="H263" i="50"/>
  <c r="H58" i="50"/>
  <c r="H406" i="50"/>
  <c r="H143" i="50"/>
  <c r="H271" i="50"/>
  <c r="L186" i="50"/>
  <c r="H180" i="50"/>
  <c r="H367" i="50"/>
  <c r="L214" i="50"/>
  <c r="H291" i="50"/>
  <c r="G9" i="46"/>
  <c r="L76" i="50"/>
  <c r="H379" i="50"/>
  <c r="H247" i="50"/>
  <c r="L86" i="50"/>
  <c r="G27" i="46"/>
  <c r="L36" i="46"/>
  <c r="H178" i="50"/>
  <c r="H83" i="50"/>
  <c r="H65" i="50"/>
  <c r="H227" i="50"/>
  <c r="H228" i="50"/>
  <c r="H233" i="50"/>
  <c r="H198" i="50"/>
  <c r="H362" i="50"/>
  <c r="G36" i="46"/>
  <c r="L296" i="50"/>
  <c r="L48" i="46"/>
  <c r="H44" i="50"/>
  <c r="H282" i="50"/>
  <c r="H303" i="50"/>
  <c r="L37" i="46"/>
  <c r="H220" i="50"/>
  <c r="L101" i="50"/>
  <c r="H377" i="50"/>
  <c r="L252" i="50"/>
  <c r="H204" i="50"/>
  <c r="L318" i="50"/>
  <c r="L281" i="50"/>
  <c r="L193" i="50"/>
  <c r="H312" i="50"/>
  <c r="L231" i="50"/>
  <c r="G37" i="46"/>
  <c r="H177" i="50"/>
  <c r="H213" i="50"/>
  <c r="H193" i="50"/>
  <c r="H183" i="50"/>
  <c r="L117" i="50"/>
  <c r="H111" i="50"/>
  <c r="H147" i="50"/>
  <c r="L216" i="50"/>
  <c r="L256" i="50"/>
  <c r="L9" i="46"/>
  <c r="L35" i="50"/>
  <c r="H324" i="50"/>
  <c r="H261" i="50"/>
  <c r="H401" i="50"/>
  <c r="H100" i="50"/>
  <c r="H222" i="50"/>
  <c r="H262" i="50"/>
  <c r="L188" i="50"/>
  <c r="H285" i="50"/>
  <c r="G33" i="46"/>
  <c r="L51" i="50"/>
  <c r="H272" i="50"/>
  <c r="L284" i="50"/>
  <c r="G15" i="46"/>
  <c r="L312" i="50"/>
  <c r="H300" i="50"/>
  <c r="L130" i="50"/>
  <c r="H286" i="50"/>
  <c r="L205" i="50"/>
  <c r="H314" i="50"/>
  <c r="H214" i="50"/>
  <c r="H52" i="50"/>
  <c r="H25" i="50"/>
  <c r="L64" i="50"/>
  <c r="L89" i="50"/>
  <c r="H239" i="50"/>
  <c r="L16" i="46"/>
  <c r="L255" i="50"/>
  <c r="H372" i="50"/>
  <c r="L398" i="50"/>
  <c r="L161" i="50"/>
  <c r="H47" i="50"/>
  <c r="H387" i="50"/>
  <c r="H254" i="50"/>
  <c r="H365" i="50"/>
  <c r="H61" i="50"/>
  <c r="L379" i="50"/>
  <c r="H18" i="50"/>
  <c r="L162" i="50"/>
  <c r="L180" i="50"/>
  <c r="L154" i="50"/>
  <c r="L47" i="50"/>
  <c r="H173" i="50"/>
  <c r="L114" i="50"/>
  <c r="L303" i="50"/>
  <c r="H335" i="50"/>
  <c r="H150" i="50"/>
  <c r="L272" i="50"/>
  <c r="L92" i="50"/>
  <c r="L290" i="50"/>
  <c r="H264" i="50"/>
  <c r="H319" i="50"/>
  <c r="H179" i="50"/>
  <c r="H373" i="50"/>
  <c r="L19" i="46"/>
  <c r="H186" i="50"/>
  <c r="H305" i="50"/>
  <c r="L241" i="50"/>
  <c r="H60" i="50"/>
  <c r="L138" i="50"/>
  <c r="H269" i="50"/>
  <c r="H162" i="50"/>
  <c r="H169" i="50"/>
  <c r="H297" i="50"/>
  <c r="H197" i="50"/>
  <c r="H119" i="50"/>
  <c r="L31" i="46"/>
  <c r="H123" i="50"/>
  <c r="L22" i="46"/>
  <c r="H230" i="50"/>
  <c r="L28" i="50"/>
  <c r="L300" i="50"/>
  <c r="H212" i="50"/>
  <c r="H26" i="50"/>
  <c r="H72" i="50"/>
  <c r="L228" i="50"/>
  <c r="L297" i="50"/>
  <c r="L189" i="50"/>
  <c r="H156" i="50"/>
  <c r="H336" i="50"/>
  <c r="H137" i="50"/>
  <c r="H136" i="50"/>
  <c r="H246" i="50"/>
  <c r="H331" i="50"/>
  <c r="L142" i="50"/>
  <c r="H92" i="50"/>
  <c r="L307" i="50"/>
  <c r="L66" i="50"/>
  <c r="L206" i="50"/>
  <c r="L173" i="50"/>
  <c r="L282" i="50"/>
  <c r="L56" i="50"/>
  <c r="L239" i="50"/>
  <c r="H257" i="50"/>
  <c r="H196" i="50"/>
  <c r="G29" i="46"/>
  <c r="H360" i="50"/>
  <c r="H260" i="50"/>
  <c r="H281" i="50"/>
  <c r="L41" i="46"/>
  <c r="L212" i="50"/>
  <c r="H163" i="50"/>
  <c r="G35" i="46"/>
  <c r="H217" i="50"/>
  <c r="H90" i="50"/>
  <c r="H211" i="50"/>
  <c r="H325" i="50"/>
  <c r="H138" i="50"/>
  <c r="L314" i="50"/>
  <c r="M27" i="46" l="1"/>
  <c r="N27" i="46" s="1"/>
  <c r="M30" i="46"/>
  <c r="N30" i="46" s="1"/>
  <c r="M32" i="46"/>
  <c r="N32" i="46" s="1"/>
  <c r="M15" i="46"/>
  <c r="N15" i="46" s="1"/>
  <c r="M18" i="46"/>
  <c r="N18" i="46" s="1"/>
  <c r="M37" i="46"/>
  <c r="N37" i="46" s="1"/>
  <c r="M35" i="46"/>
  <c r="N35" i="46" s="1"/>
  <c r="M33" i="46"/>
  <c r="N33" i="46" s="1"/>
  <c r="M17" i="46"/>
  <c r="N17" i="46" s="1"/>
  <c r="M21" i="46"/>
  <c r="N21" i="46" s="1"/>
  <c r="M31" i="46"/>
  <c r="N31" i="46" s="1"/>
  <c r="M16" i="46"/>
  <c r="N16" i="46" s="1"/>
  <c r="M9" i="46"/>
  <c r="N9" i="46" s="1"/>
  <c r="M29" i="46"/>
  <c r="N29" i="46" s="1"/>
  <c r="M42" i="46"/>
  <c r="N42" i="46" s="1"/>
  <c r="M19" i="46"/>
  <c r="N19" i="46" s="1"/>
  <c r="M20" i="46"/>
  <c r="N20" i="46" s="1"/>
  <c r="M10" i="46"/>
  <c r="N10" i="46" s="1"/>
  <c r="M34" i="46"/>
  <c r="N34" i="46" s="1"/>
  <c r="M22" i="46"/>
  <c r="N22" i="46" s="1"/>
  <c r="M24" i="46"/>
  <c r="N24" i="46" s="1"/>
  <c r="M28" i="46"/>
  <c r="N28" i="46" s="1"/>
  <c r="M26" i="46"/>
  <c r="N26" i="46" s="1"/>
  <c r="M36" i="46"/>
  <c r="N36" i="46" s="1"/>
  <c r="M48" i="46"/>
  <c r="N48" i="46" s="1"/>
  <c r="F75" i="21"/>
  <c r="D9" i="2" l="1"/>
  <c r="A6" i="81"/>
  <c r="B5" i="81"/>
  <c r="A5" i="81"/>
  <c r="K5" i="81" s="1"/>
  <c r="B3" i="81"/>
  <c r="A2" i="81"/>
  <c r="K4" i="81" s="1"/>
  <c r="D1" i="81"/>
  <c r="K12" i="80"/>
  <c r="J12" i="80"/>
  <c r="I12" i="80"/>
  <c r="H12" i="80"/>
  <c r="G12" i="80"/>
  <c r="F12" i="80"/>
  <c r="E12" i="80"/>
  <c r="L12" i="80" s="1"/>
  <c r="D12" i="80"/>
  <c r="K11" i="80"/>
  <c r="J11" i="80"/>
  <c r="I11" i="80"/>
  <c r="I13" i="80" s="1"/>
  <c r="H11" i="80"/>
  <c r="G11" i="80"/>
  <c r="F11" i="80"/>
  <c r="E11" i="80"/>
  <c r="E13" i="80" s="1"/>
  <c r="D11" i="80"/>
  <c r="A6" i="80"/>
  <c r="B5" i="80"/>
  <c r="A5" i="80"/>
  <c r="K5" i="80" s="1"/>
  <c r="B3" i="80"/>
  <c r="A2" i="80"/>
  <c r="D1" i="80"/>
  <c r="K4" i="80" s="1"/>
  <c r="A6" i="79"/>
  <c r="B5" i="79"/>
  <c r="A5" i="79"/>
  <c r="H5" i="79" s="1"/>
  <c r="B3" i="79"/>
  <c r="A2" i="79"/>
  <c r="H4" i="79" s="1"/>
  <c r="D1" i="79"/>
  <c r="A6" i="78"/>
  <c r="B5" i="78"/>
  <c r="A5" i="78"/>
  <c r="B3" i="78"/>
  <c r="A2" i="78"/>
  <c r="D1" i="78"/>
  <c r="H4" i="78" s="1"/>
  <c r="A6" i="77"/>
  <c r="B5" i="77"/>
  <c r="A5" i="77"/>
  <c r="B3" i="77"/>
  <c r="A2" i="77"/>
  <c r="D1" i="77"/>
  <c r="P4" i="77" s="1"/>
  <c r="A6" i="76"/>
  <c r="B5" i="76"/>
  <c r="A5" i="76"/>
  <c r="B3" i="76"/>
  <c r="A2" i="76"/>
  <c r="J4" i="76" s="1"/>
  <c r="D1" i="76"/>
  <c r="K3" i="81"/>
  <c r="K13" i="80"/>
  <c r="J13" i="80"/>
  <c r="H13" i="80"/>
  <c r="G13" i="80"/>
  <c r="F13" i="80"/>
  <c r="D13" i="80"/>
  <c r="L11" i="80"/>
  <c r="K3" i="80"/>
  <c r="H3" i="79"/>
  <c r="H5" i="78"/>
  <c r="H3" i="78"/>
  <c r="M30" i="77"/>
  <c r="L30" i="77"/>
  <c r="K30" i="77"/>
  <c r="J30" i="77"/>
  <c r="I30" i="77"/>
  <c r="H30" i="77"/>
  <c r="G30" i="77"/>
  <c r="F30" i="77"/>
  <c r="N30" i="77" s="1"/>
  <c r="N29" i="77"/>
  <c r="N28" i="77"/>
  <c r="N27" i="77"/>
  <c r="N26" i="77"/>
  <c r="N25" i="77"/>
  <c r="J23" i="77"/>
  <c r="J31" i="77" s="1"/>
  <c r="F23" i="77"/>
  <c r="F31" i="77" s="1"/>
  <c r="M22" i="77"/>
  <c r="L22" i="77"/>
  <c r="L23" i="77" s="1"/>
  <c r="L31" i="77" s="1"/>
  <c r="K22" i="77"/>
  <c r="K23" i="77" s="1"/>
  <c r="K31" i="77" s="1"/>
  <c r="J22" i="77"/>
  <c r="I22" i="77"/>
  <c r="H22" i="77"/>
  <c r="H23" i="77" s="1"/>
  <c r="H31" i="77" s="1"/>
  <c r="G22" i="77"/>
  <c r="G23" i="77" s="1"/>
  <c r="G31" i="77" s="1"/>
  <c r="F22" i="77"/>
  <c r="N22" i="77" s="1"/>
  <c r="N21" i="77"/>
  <c r="N20" i="77"/>
  <c r="N19" i="77"/>
  <c r="N18" i="77"/>
  <c r="N17" i="77"/>
  <c r="M15" i="77"/>
  <c r="M23" i="77" s="1"/>
  <c r="M31" i="77" s="1"/>
  <c r="L15" i="77"/>
  <c r="K15" i="77"/>
  <c r="J15" i="77"/>
  <c r="I15" i="77"/>
  <c r="I23" i="77" s="1"/>
  <c r="I31" i="77" s="1"/>
  <c r="H15" i="77"/>
  <c r="G15" i="77"/>
  <c r="F15" i="77"/>
  <c r="N15" i="77" s="1"/>
  <c r="N14" i="77"/>
  <c r="N13" i="77"/>
  <c r="N12" i="77"/>
  <c r="N11" i="77"/>
  <c r="N10" i="77"/>
  <c r="P5"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0" i="6"/>
  <c r="B21" i="6"/>
  <c r="B22" i="6"/>
  <c r="B23" i="6"/>
  <c r="B24" i="6"/>
  <c r="B25" i="6"/>
  <c r="B26" i="6"/>
  <c r="B27" i="6"/>
  <c r="B28" i="6"/>
  <c r="B29" i="6"/>
  <c r="B11" i="6"/>
  <c r="B12" i="6"/>
  <c r="B13" i="6"/>
  <c r="B14" i="6"/>
  <c r="B15" i="6"/>
  <c r="B16" i="6"/>
  <c r="B17" i="6"/>
  <c r="B18" i="6"/>
  <c r="L12" i="18"/>
  <c r="K12" i="18"/>
  <c r="G2074" i="18"/>
  <c r="G2073" i="18"/>
  <c r="G2132" i="18"/>
  <c r="G2131" i="18"/>
  <c r="I2070" i="18"/>
  <c r="K2063" i="18" s="1"/>
  <c r="L13" i="80" l="1"/>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J757" i="18" l="1"/>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93" i="21"/>
  <c r="F45" i="69"/>
  <c r="F44" i="69"/>
  <c r="E78" i="69"/>
  <c r="F32" i="73"/>
  <c r="I59" i="68"/>
  <c r="I58" i="68"/>
  <c r="I47" i="68"/>
  <c r="I46" i="68"/>
  <c r="K2118" i="18" l="1"/>
  <c r="N2132" i="18"/>
  <c r="F78" i="69"/>
  <c r="I47" i="72"/>
  <c r="G1" i="5"/>
  <c r="F797" i="5" l="1"/>
  <c r="J797"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M676" i="5"/>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H6224" i="18"/>
  <c r="D6224" i="18"/>
  <c r="J6223" i="18"/>
  <c r="D6223" i="18"/>
  <c r="J6222" i="18"/>
  <c r="D6222" i="18"/>
  <c r="J6221" i="18"/>
  <c r="D6221" i="18"/>
  <c r="J6220" i="18"/>
  <c r="D6220" i="18"/>
  <c r="J6219" i="18"/>
  <c r="D6219" i="18"/>
  <c r="J6218" i="18"/>
  <c r="D6218" i="18"/>
  <c r="J6217"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H6195" i="18"/>
  <c r="D6195" i="18"/>
  <c r="J6194" i="18"/>
  <c r="D6194" i="18"/>
  <c r="J6193" i="18"/>
  <c r="D6193" i="18"/>
  <c r="J6192" i="18"/>
  <c r="D6192" i="18"/>
  <c r="J6191" i="18"/>
  <c r="D6191" i="18"/>
  <c r="J6190"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K4683" i="18"/>
  <c r="L4683" i="18" s="1"/>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D26" i="12" s="1"/>
  <c r="E26" i="12"/>
  <c r="C26" i="12"/>
  <c r="Q26" i="12" s="1"/>
  <c r="AE26" i="12" s="1"/>
  <c r="AD25" i="12"/>
  <c r="AC25" i="12"/>
  <c r="J25" i="12"/>
  <c r="G25" i="12" s="1"/>
  <c r="E25" i="12"/>
  <c r="C25" i="12"/>
  <c r="AD24" i="12"/>
  <c r="AC24" i="12"/>
  <c r="J24" i="12"/>
  <c r="G24" i="12" s="1"/>
  <c r="E24" i="12"/>
  <c r="D24" i="12"/>
  <c r="C24" i="12"/>
  <c r="R24" i="12" s="1"/>
  <c r="AD23" i="12"/>
  <c r="AC23" i="12"/>
  <c r="J23" i="12"/>
  <c r="G23" i="12" s="1"/>
  <c r="E23" i="12"/>
  <c r="C23" i="12"/>
  <c r="R23" i="12" s="1"/>
  <c r="AD22" i="12"/>
  <c r="AC22" i="12"/>
  <c r="J22" i="12"/>
  <c r="G22" i="12"/>
  <c r="E22" i="12"/>
  <c r="D22" i="12"/>
  <c r="C22" i="12"/>
  <c r="Q22" i="12" s="1"/>
  <c r="AE22" i="12" s="1"/>
  <c r="AD21" i="12"/>
  <c r="AC21" i="12"/>
  <c r="J21" i="12"/>
  <c r="G21" i="12" s="1"/>
  <c r="E21" i="12"/>
  <c r="D21" i="12"/>
  <c r="C21" i="12"/>
  <c r="AD20" i="12"/>
  <c r="AC20" i="12"/>
  <c r="J20" i="12"/>
  <c r="G20" i="12" s="1"/>
  <c r="E20" i="12"/>
  <c r="C20" i="12"/>
  <c r="Q20" i="12" s="1"/>
  <c r="AD19" i="12"/>
  <c r="AC19" i="12"/>
  <c r="J19" i="12"/>
  <c r="G19" i="12" s="1"/>
  <c r="E19" i="12"/>
  <c r="D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E12" i="12" s="1"/>
  <c r="AD11" i="12"/>
  <c r="AC11" i="12"/>
  <c r="J11" i="12"/>
  <c r="G11" i="12" s="1"/>
  <c r="E11" i="12"/>
  <c r="C11" i="12"/>
  <c r="R11" i="12" s="1"/>
  <c r="AD10" i="12"/>
  <c r="AC10" i="12"/>
  <c r="J10" i="12"/>
  <c r="D10" i="12" s="1"/>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G36" i="11" s="1"/>
  <c r="E36" i="11"/>
  <c r="C36" i="11"/>
  <c r="R36" i="11" s="1"/>
  <c r="AD35" i="11"/>
  <c r="AC35" i="11"/>
  <c r="J35" i="11"/>
  <c r="G35" i="11"/>
  <c r="E35" i="11"/>
  <c r="D35" i="11"/>
  <c r="C35" i="11"/>
  <c r="Q35" i="11" s="1"/>
  <c r="AE35" i="11" s="1"/>
  <c r="AD34" i="11"/>
  <c r="AC34" i="11"/>
  <c r="J34" i="11"/>
  <c r="G34" i="11" s="1"/>
  <c r="E34" i="11"/>
  <c r="D34" i="11"/>
  <c r="C34" i="11"/>
  <c r="AD33" i="11"/>
  <c r="AC33" i="11"/>
  <c r="J33" i="11"/>
  <c r="D33" i="11" s="1"/>
  <c r="E33" i="11"/>
  <c r="C33" i="11"/>
  <c r="R33" i="11" s="1"/>
  <c r="AD32" i="11"/>
  <c r="AC32" i="11"/>
  <c r="J32" i="11"/>
  <c r="G32" i="11" s="1"/>
  <c r="E32" i="11"/>
  <c r="D32" i="11"/>
  <c r="C32" i="11"/>
  <c r="R32" i="11" s="1"/>
  <c r="AD31" i="11"/>
  <c r="AC31" i="11"/>
  <c r="J31" i="11"/>
  <c r="G31" i="11" s="1"/>
  <c r="E31" i="11"/>
  <c r="C31" i="11"/>
  <c r="Q31" i="11" s="1"/>
  <c r="AE31" i="11" s="1"/>
  <c r="AD30" i="11"/>
  <c r="AC30" i="11"/>
  <c r="J30" i="11"/>
  <c r="G30" i="11" s="1"/>
  <c r="E30" i="11"/>
  <c r="D30" i="11"/>
  <c r="C30" i="11"/>
  <c r="AD29" i="11"/>
  <c r="AC29" i="11"/>
  <c r="J29" i="11"/>
  <c r="G29" i="11" s="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E23" i="11"/>
  <c r="C23" i="11"/>
  <c r="Q23" i="11" s="1"/>
  <c r="AD22" i="11"/>
  <c r="AC22" i="11"/>
  <c r="J22" i="11"/>
  <c r="G22" i="11" s="1"/>
  <c r="E22" i="11"/>
  <c r="C22" i="11"/>
  <c r="AD21" i="11"/>
  <c r="AC21" i="11"/>
  <c r="J21" i="11"/>
  <c r="D21" i="11" s="1"/>
  <c r="G21" i="11"/>
  <c r="E21" i="11"/>
  <c r="C21" i="11"/>
  <c r="R21" i="11" s="1"/>
  <c r="AD20" i="11"/>
  <c r="AC20" i="11"/>
  <c r="J20" i="11"/>
  <c r="G20" i="11" s="1"/>
  <c r="E20" i="11"/>
  <c r="C20" i="11"/>
  <c r="R20" i="11" s="1"/>
  <c r="AD19" i="11"/>
  <c r="AC19" i="11"/>
  <c r="J19" i="11"/>
  <c r="G19" i="11"/>
  <c r="E19" i="11"/>
  <c r="D19" i="11"/>
  <c r="C19" i="11"/>
  <c r="Q19" i="11" s="1"/>
  <c r="AE19" i="11" s="1"/>
  <c r="AD18" i="11"/>
  <c r="AC18" i="11"/>
  <c r="J18" i="11"/>
  <c r="G18" i="11" s="1"/>
  <c r="E18" i="11"/>
  <c r="D18" i="11"/>
  <c r="C18" i="11"/>
  <c r="AD17" i="11"/>
  <c r="AC17" i="11"/>
  <c r="J17" i="11"/>
  <c r="D17" i="11" s="1"/>
  <c r="E17" i="11"/>
  <c r="C17" i="11"/>
  <c r="Q17" i="11" s="1"/>
  <c r="AE17" i="11" s="1"/>
  <c r="AD16" i="11"/>
  <c r="AC16" i="11"/>
  <c r="J16" i="11"/>
  <c r="G16" i="11" s="1"/>
  <c r="E16" i="11"/>
  <c r="D16" i="11"/>
  <c r="C16" i="11"/>
  <c r="R16" i="11" s="1"/>
  <c r="AD15" i="11"/>
  <c r="AC15" i="11"/>
  <c r="J15" i="11"/>
  <c r="G15" i="11" s="1"/>
  <c r="E15" i="11"/>
  <c r="C15" i="11"/>
  <c r="Q15" i="11" s="1"/>
  <c r="AE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E38" i="13"/>
  <c r="C38" i="13"/>
  <c r="B38" i="13" s="1"/>
  <c r="Q37" i="13"/>
  <c r="N37" i="13"/>
  <c r="J37" i="13"/>
  <c r="G37" i="13" s="1"/>
  <c r="E37" i="13"/>
  <c r="D37" i="13"/>
  <c r="C37" i="13"/>
  <c r="Q36" i="13"/>
  <c r="N36" i="13"/>
  <c r="T36" i="13" s="1"/>
  <c r="J36" i="13"/>
  <c r="G36" i="13" s="1"/>
  <c r="E36" i="13"/>
  <c r="D36" i="13"/>
  <c r="C36" i="13"/>
  <c r="Q35" i="13"/>
  <c r="N35" i="13"/>
  <c r="J35" i="13"/>
  <c r="G35" i="13" s="1"/>
  <c r="E35" i="13"/>
  <c r="C35" i="13"/>
  <c r="Q34" i="13"/>
  <c r="N34" i="13"/>
  <c r="T34" i="13" s="1"/>
  <c r="J34" i="13"/>
  <c r="G34" i="13" s="1"/>
  <c r="E34" i="13"/>
  <c r="D34" i="13"/>
  <c r="C34" i="13"/>
  <c r="Q33" i="13"/>
  <c r="N33" i="13"/>
  <c r="J33" i="13"/>
  <c r="G33" i="13" s="1"/>
  <c r="E33" i="13"/>
  <c r="C33" i="13"/>
  <c r="Q32" i="13"/>
  <c r="N32" i="13"/>
  <c r="T32" i="13" s="1"/>
  <c r="J32" i="13"/>
  <c r="G32" i="13" s="1"/>
  <c r="E32" i="13"/>
  <c r="D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E24" i="13"/>
  <c r="C24" i="13"/>
  <c r="Q23" i="13"/>
  <c r="N23" i="13"/>
  <c r="J23" i="13"/>
  <c r="G23" i="13" s="1"/>
  <c r="E23" i="13"/>
  <c r="C23" i="13"/>
  <c r="Q22" i="13"/>
  <c r="N22" i="13"/>
  <c r="T22" i="13" s="1"/>
  <c r="J22" i="13"/>
  <c r="D22" i="13" s="1"/>
  <c r="E22" i="13"/>
  <c r="C22" i="13"/>
  <c r="Q21" i="13"/>
  <c r="N21" i="13"/>
  <c r="J21" i="13"/>
  <c r="G21" i="13" s="1"/>
  <c r="E21" i="13"/>
  <c r="D21" i="13"/>
  <c r="C21" i="13"/>
  <c r="Q20" i="13"/>
  <c r="N20" i="13"/>
  <c r="T20" i="13" s="1"/>
  <c r="J20" i="13"/>
  <c r="G20" i="13" s="1"/>
  <c r="E20" i="13"/>
  <c r="D20" i="13"/>
  <c r="C20" i="13"/>
  <c r="Q19" i="13"/>
  <c r="N19" i="13"/>
  <c r="J19" i="13"/>
  <c r="G19" i="13" s="1"/>
  <c r="E19" i="13"/>
  <c r="C19" i="13"/>
  <c r="Q18" i="13"/>
  <c r="N18" i="13"/>
  <c r="T18" i="13" s="1"/>
  <c r="J18" i="13"/>
  <c r="G18" i="13" s="1"/>
  <c r="E18" i="13"/>
  <c r="D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E35" i="6"/>
  <c r="C35" i="6"/>
  <c r="R35" i="6" s="1"/>
  <c r="AD34" i="6"/>
  <c r="AC34" i="6"/>
  <c r="J34" i="6"/>
  <c r="G34" i="6" s="1"/>
  <c r="E34" i="6"/>
  <c r="C34" i="6"/>
  <c r="Q34" i="6" s="1"/>
  <c r="AD33" i="6"/>
  <c r="AC33" i="6"/>
  <c r="J33" i="6"/>
  <c r="D33" i="6" s="1"/>
  <c r="G33" i="6"/>
  <c r="E33" i="6"/>
  <c r="C33" i="6"/>
  <c r="AD32" i="6"/>
  <c r="AC32" i="6"/>
  <c r="J32" i="6"/>
  <c r="G32" i="6" s="1"/>
  <c r="E32" i="6"/>
  <c r="C32" i="6"/>
  <c r="Q32" i="6" s="1"/>
  <c r="AD31" i="6"/>
  <c r="AC31" i="6"/>
  <c r="J31" i="6"/>
  <c r="G31" i="6"/>
  <c r="E31" i="6"/>
  <c r="D31" i="6"/>
  <c r="C31" i="6"/>
  <c r="R31" i="6" s="1"/>
  <c r="AD30" i="6"/>
  <c r="AC30" i="6"/>
  <c r="J30" i="6"/>
  <c r="G30" i="6" s="1"/>
  <c r="E30" i="6"/>
  <c r="D30" i="6"/>
  <c r="C30" i="6"/>
  <c r="Q30" i="6" s="1"/>
  <c r="AD29" i="6"/>
  <c r="AC29" i="6"/>
  <c r="J29" i="6"/>
  <c r="D29" i="6" s="1"/>
  <c r="E29" i="6"/>
  <c r="C29" i="6"/>
  <c r="AD28" i="6"/>
  <c r="AC28" i="6"/>
  <c r="J28" i="6"/>
  <c r="G28" i="6" s="1"/>
  <c r="E28" i="6"/>
  <c r="D28" i="6"/>
  <c r="C28" i="6"/>
  <c r="R28" i="6" s="1"/>
  <c r="AD27" i="6"/>
  <c r="AC27" i="6"/>
  <c r="J27" i="6"/>
  <c r="G27" i="6" s="1"/>
  <c r="E27" i="6"/>
  <c r="C27" i="6"/>
  <c r="R27" i="6" s="1"/>
  <c r="AD26" i="6"/>
  <c r="AC26" i="6"/>
  <c r="J26" i="6"/>
  <c r="G26" i="6" s="1"/>
  <c r="E26" i="6"/>
  <c r="D26" i="6"/>
  <c r="C26" i="6"/>
  <c r="Q26" i="6" s="1"/>
  <c r="AD25" i="6"/>
  <c r="AC25" i="6"/>
  <c r="J25" i="6"/>
  <c r="G25" i="6" s="1"/>
  <c r="E25" i="6"/>
  <c r="C25" i="6"/>
  <c r="AD24" i="6"/>
  <c r="AC24" i="6"/>
  <c r="J24" i="6"/>
  <c r="G24" i="6" s="1"/>
  <c r="E24" i="6"/>
  <c r="C24" i="6"/>
  <c r="Q24" i="6" s="1"/>
  <c r="AD23" i="6"/>
  <c r="AC23" i="6"/>
  <c r="J23" i="6"/>
  <c r="D23" i="6" s="1"/>
  <c r="E23" i="6"/>
  <c r="C23" i="6"/>
  <c r="R23" i="6" s="1"/>
  <c r="AD22" i="6"/>
  <c r="AC22" i="6"/>
  <c r="J22" i="6"/>
  <c r="G22" i="6" s="1"/>
  <c r="E22" i="6"/>
  <c r="C22" i="6"/>
  <c r="Q22" i="6" s="1"/>
  <c r="AD21" i="6"/>
  <c r="AC21" i="6"/>
  <c r="J21" i="6"/>
  <c r="D21" i="6" s="1"/>
  <c r="E21" i="6"/>
  <c r="C21" i="6"/>
  <c r="AD20" i="6"/>
  <c r="AC20" i="6"/>
  <c r="J20" i="6"/>
  <c r="G20" i="6" s="1"/>
  <c r="E20" i="6"/>
  <c r="C20" i="6"/>
  <c r="Q20" i="6" s="1"/>
  <c r="AD19" i="6"/>
  <c r="AC19" i="6"/>
  <c r="J19" i="6"/>
  <c r="D19" i="6" s="1"/>
  <c r="E19" i="6"/>
  <c r="C19" i="6"/>
  <c r="R19" i="6" s="1"/>
  <c r="AD18" i="6"/>
  <c r="AC18" i="6"/>
  <c r="J18" i="6"/>
  <c r="G18" i="6" s="1"/>
  <c r="E18" i="6"/>
  <c r="C18" i="6"/>
  <c r="Q18" i="6" s="1"/>
  <c r="AD17" i="6"/>
  <c r="AC17" i="6"/>
  <c r="J17" i="6"/>
  <c r="D17" i="6" s="1"/>
  <c r="G17" i="6"/>
  <c r="E17" i="6"/>
  <c r="C17" i="6"/>
  <c r="AD16" i="6"/>
  <c r="AC16" i="6"/>
  <c r="J16" i="6"/>
  <c r="G16" i="6" s="1"/>
  <c r="E16" i="6"/>
  <c r="C16" i="6"/>
  <c r="R16" i="6" s="1"/>
  <c r="AD15" i="6"/>
  <c r="AC15" i="6"/>
  <c r="J15" i="6"/>
  <c r="G15" i="6"/>
  <c r="E15" i="6"/>
  <c r="D15" i="6"/>
  <c r="C15" i="6"/>
  <c r="R15" i="6" s="1"/>
  <c r="AD14" i="6"/>
  <c r="AC14" i="6"/>
  <c r="J14" i="6"/>
  <c r="G14" i="6" s="1"/>
  <c r="E14" i="6"/>
  <c r="C14" i="6"/>
  <c r="Q14" i="6" s="1"/>
  <c r="AD13" i="6"/>
  <c r="AC13" i="6"/>
  <c r="J13" i="6"/>
  <c r="G13" i="6"/>
  <c r="E13" i="6"/>
  <c r="D13" i="6"/>
  <c r="D14" i="6" s="1"/>
  <c r="C13" i="6"/>
  <c r="AD12" i="6"/>
  <c r="AC12" i="6"/>
  <c r="J12" i="6"/>
  <c r="G12" i="6" s="1"/>
  <c r="E12" i="6"/>
  <c r="D12" i="6"/>
  <c r="C12" i="6"/>
  <c r="R12" i="6" s="1"/>
  <c r="AD11" i="6"/>
  <c r="AC11" i="6"/>
  <c r="J11" i="6"/>
  <c r="G11" i="6" s="1"/>
  <c r="E11" i="6"/>
  <c r="C11" i="6"/>
  <c r="R11" i="6" s="1"/>
  <c r="AD10" i="6"/>
  <c r="AC10" i="6"/>
  <c r="J10" i="6"/>
  <c r="G10" i="6" s="1"/>
  <c r="E10" i="6"/>
  <c r="D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F752" i="5"/>
  <c r="E752" i="5"/>
  <c r="C752" i="5"/>
  <c r="B752" i="5"/>
  <c r="A752" i="5"/>
  <c r="J751" i="5"/>
  <c r="F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M679" i="5" s="1"/>
  <c r="K337" i="50" s="1"/>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M665" i="5" s="1"/>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M14" i="2"/>
  <c r="AA47" i="2" s="1"/>
  <c r="L14" i="2"/>
  <c r="Z47" i="2" s="1"/>
  <c r="K14" i="2"/>
  <c r="Y47" i="2" s="1"/>
  <c r="J14" i="2"/>
  <c r="X47" i="2" s="1"/>
  <c r="I14" i="2"/>
  <c r="H14" i="2"/>
  <c r="V47" i="2" s="1"/>
  <c r="G14" i="2"/>
  <c r="U47" i="2" s="1"/>
  <c r="F14" i="2"/>
  <c r="T47" i="2" s="1"/>
  <c r="E14" i="2"/>
  <c r="S47" i="2" s="1"/>
  <c r="D14" i="2"/>
  <c r="R47" i="2" s="1"/>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329" i="50"/>
  <c r="L308" i="50"/>
  <c r="H244" i="50"/>
  <c r="H238" i="50"/>
  <c r="L244" i="50"/>
  <c r="H115" i="50"/>
  <c r="H309" i="50"/>
  <c r="L313" i="50"/>
  <c r="H313" i="50"/>
  <c r="H327" i="50"/>
  <c r="H9" i="50"/>
  <c r="L309" i="50"/>
  <c r="M699" i="5" l="1"/>
  <c r="O4683" i="18"/>
  <c r="E92" i="21"/>
  <c r="E47" i="21"/>
  <c r="F38" i="12"/>
  <c r="F34" i="12"/>
  <c r="U3" i="18"/>
  <c r="L6" i="72"/>
  <c r="H6" i="68"/>
  <c r="E69" i="68" s="1"/>
  <c r="H6" i="72"/>
  <c r="E60" i="72" s="1"/>
  <c r="L6" i="68"/>
  <c r="P15" i="2"/>
  <c r="D11" i="6"/>
  <c r="D19" i="13"/>
  <c r="G22" i="13"/>
  <c r="D35" i="13"/>
  <c r="G38" i="13"/>
  <c r="AE11" i="11"/>
  <c r="AE27" i="11"/>
  <c r="F11" i="12"/>
  <c r="D18" i="12"/>
  <c r="D20" i="12"/>
  <c r="D25" i="12"/>
  <c r="D34" i="12"/>
  <c r="D36" i="12"/>
  <c r="G19" i="6"/>
  <c r="G29" i="6"/>
  <c r="G35" i="6"/>
  <c r="G17" i="11"/>
  <c r="G23" i="11"/>
  <c r="G33" i="11"/>
  <c r="D16" i="6"/>
  <c r="D25" i="6"/>
  <c r="D27" i="6"/>
  <c r="D32" i="6"/>
  <c r="D15" i="13"/>
  <c r="D17" i="13"/>
  <c r="G24" i="13"/>
  <c r="D31" i="13"/>
  <c r="D33" i="13"/>
  <c r="D13" i="11"/>
  <c r="D15" i="11"/>
  <c r="D20" i="11"/>
  <c r="AE23" i="11"/>
  <c r="D29" i="11"/>
  <c r="D31" i="11"/>
  <c r="D36" i="11"/>
  <c r="D3" i="12"/>
  <c r="G10" i="12"/>
  <c r="AE14" i="12"/>
  <c r="AE18" i="12"/>
  <c r="AE20" i="12"/>
  <c r="D23" i="12"/>
  <c r="G26"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15" i="70"/>
  <c r="F29" i="70"/>
  <c r="F13" i="74"/>
  <c r="F4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D15" i="2"/>
  <c r="H15" i="2"/>
  <c r="L15" i="2"/>
  <c r="D18" i="6"/>
  <c r="D20" i="6"/>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G15" i="2"/>
  <c r="D3" i="6"/>
  <c r="F11" i="6"/>
  <c r="D22" i="6"/>
  <c r="D24" i="6"/>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M40" i="2"/>
  <c r="M54" i="2" s="1"/>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26" i="6"/>
  <c r="AE30" i="6"/>
  <c r="AE34" i="6"/>
  <c r="C109" i="21"/>
  <c r="AA48" i="2"/>
  <c r="AA49" i="2" s="1"/>
  <c r="AA50" i="2" s="1"/>
  <c r="S54" i="2"/>
  <c r="S48" i="2"/>
  <c r="S49" i="2" s="1"/>
  <c r="S50" i="2" s="1"/>
  <c r="R54" i="2"/>
  <c r="R56" i="2" s="1"/>
  <c r="R57" i="2" s="1"/>
  <c r="R48" i="2"/>
  <c r="R49" i="2" s="1"/>
  <c r="R50" i="2" s="1"/>
  <c r="W54" i="2"/>
  <c r="W56" i="2" s="1"/>
  <c r="W57" i="2" s="1"/>
  <c r="W48" i="2"/>
  <c r="V54" i="2"/>
  <c r="V56" i="2" s="1"/>
  <c r="V57" i="2" s="1"/>
  <c r="V48" i="2"/>
  <c r="V49" i="2" s="1"/>
  <c r="V50" i="2" s="1"/>
  <c r="K40" i="2"/>
  <c r="K54" i="2" s="1"/>
  <c r="K56" i="2" s="1"/>
  <c r="K57" i="2" s="1"/>
  <c r="AE19" i="2"/>
  <c r="Q24" i="2"/>
  <c r="M56" i="2"/>
  <c r="M57" i="2" s="1"/>
  <c r="S56" i="2"/>
  <c r="S57" i="2" s="1"/>
  <c r="D40" i="2"/>
  <c r="D54" i="2" s="1"/>
  <c r="D56" i="2" s="1"/>
  <c r="D57" i="2" s="1"/>
  <c r="H40" i="2"/>
  <c r="H54" i="2" s="1"/>
  <c r="L40" i="2"/>
  <c r="L54" i="2" s="1"/>
  <c r="P40" i="2"/>
  <c r="P54" i="2" s="1"/>
  <c r="P56" i="2" s="1"/>
  <c r="P57" i="2" s="1"/>
  <c r="H56" i="2"/>
  <c r="H57" i="2" s="1"/>
  <c r="L56" i="2"/>
  <c r="L57" i="2" s="1"/>
  <c r="M695" i="5"/>
  <c r="R9" i="11"/>
  <c r="Q9" i="12"/>
  <c r="AE9" i="12" s="1"/>
  <c r="R36" i="12"/>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3" i="18" s="1"/>
  <c r="I743" i="5"/>
  <c r="I745" i="5"/>
  <c r="E59" i="74" s="1"/>
  <c r="H5107" i="18" s="1"/>
  <c r="I747" i="5"/>
  <c r="I749" i="5"/>
  <c r="E63" i="74" s="1"/>
  <c r="H5111" i="18" s="1"/>
  <c r="I751" i="5"/>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10" i="52" s="1"/>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4" i="5"/>
  <c r="I746" i="5"/>
  <c r="I748" i="5"/>
  <c r="I750" i="5"/>
  <c r="I752"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L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09" i="18"/>
  <c r="H623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I6209" i="18"/>
  <c r="I6238" i="18"/>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Q5036" i="18"/>
  <c r="J5460" i="18"/>
  <c r="J5482" i="18" s="1"/>
  <c r="Q5599" i="18"/>
  <c r="H5832" i="18"/>
  <c r="H5834" i="18" s="1"/>
  <c r="K5804" i="18" s="1"/>
  <c r="J6195" i="18"/>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L1013" i="18" s="1"/>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L4516" i="18" s="1"/>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6224"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8" i="18"/>
  <c r="Q5156" i="18" s="1"/>
  <c r="H243" i="50"/>
  <c r="L10" i="50"/>
  <c r="L45" i="46"/>
  <c r="F15" i="74" l="1"/>
  <c r="K329" i="50"/>
  <c r="M329" i="50" s="1"/>
  <c r="N329" i="50" s="1"/>
  <c r="K330" i="50"/>
  <c r="F37" i="74"/>
  <c r="K346" i="50"/>
  <c r="E114" i="8"/>
  <c r="K327" i="50"/>
  <c r="M327" i="50" s="1"/>
  <c r="N327" i="50" s="1"/>
  <c r="K328" i="50"/>
  <c r="F8" i="74"/>
  <c r="K335" i="50"/>
  <c r="F28" i="74"/>
  <c r="K332" i="50"/>
  <c r="M332" i="50" s="1"/>
  <c r="N332" i="50" s="1"/>
  <c r="F165" i="5"/>
  <c r="F796" i="5" s="1"/>
  <c r="E93" i="21"/>
  <c r="E94" i="21" s="1"/>
  <c r="E95" i="21" s="1"/>
  <c r="J795" i="5"/>
  <c r="J798" i="5" s="1"/>
  <c r="J799" i="5" s="1"/>
  <c r="F71" i="8"/>
  <c r="F697" i="5"/>
  <c r="T54" i="2"/>
  <c r="T56" i="2" s="1"/>
  <c r="T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M288" i="50" s="1"/>
  <c r="N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I99" i="5" s="1"/>
  <c r="G112" i="5"/>
  <c r="G119" i="5"/>
  <c r="H449" i="5"/>
  <c r="H470" i="5"/>
  <c r="H489" i="5"/>
  <c r="G508" i="5"/>
  <c r="I508" i="5" s="1"/>
  <c r="G527" i="5"/>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I381" i="5" s="1"/>
  <c r="G384" i="5"/>
  <c r="I384" i="5" s="1"/>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1" i="18" s="1"/>
  <c r="F70" i="70"/>
  <c r="E53" i="74"/>
  <c r="H5101" i="18" s="1"/>
  <c r="E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83" i="70"/>
  <c r="E66" i="74"/>
  <c r="H5114" i="18" s="1"/>
  <c r="E75" i="70"/>
  <c r="E58" i="74"/>
  <c r="H5106" i="18" s="1"/>
  <c r="F80" i="70"/>
  <c r="F63" i="74"/>
  <c r="I5111" i="18" s="1"/>
  <c r="F72" i="70"/>
  <c r="F55" i="74"/>
  <c r="I5103" i="18" s="1"/>
  <c r="E91" i="70"/>
  <c r="E74" i="74"/>
  <c r="E82" i="70"/>
  <c r="E65" i="74"/>
  <c r="H5113" i="18" s="1"/>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K6091" i="18"/>
  <c r="L6092" i="18" s="1"/>
  <c r="K6184" i="18"/>
  <c r="F72" i="51"/>
  <c r="K6240" i="18"/>
  <c r="L6241"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K6211" i="18"/>
  <c r="F11" i="52"/>
  <c r="F62" i="52"/>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J6238" i="18"/>
  <c r="K6212" i="18" s="1"/>
  <c r="Q4340" i="18"/>
  <c r="K4561" i="18"/>
  <c r="L4561" i="18" s="1"/>
  <c r="Q1947" i="18"/>
  <c r="Q629" i="18"/>
  <c r="K629" i="18"/>
  <c r="J6209" i="18"/>
  <c r="K6185" i="18" s="1"/>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L47" i="46"/>
  <c r="H118" i="50"/>
  <c r="G47" i="46"/>
  <c r="G44" i="46"/>
  <c r="H10" i="50"/>
  <c r="I149" i="5" l="1"/>
  <c r="I386" i="5"/>
  <c r="I527" i="5"/>
  <c r="I637" i="5"/>
  <c r="E126" i="8"/>
  <c r="M47" i="46"/>
  <c r="N47" i="46" s="1"/>
  <c r="M44" i="46"/>
  <c r="N44" i="46" s="1"/>
  <c r="I90" i="5"/>
  <c r="K166" i="50"/>
  <c r="K164" i="50"/>
  <c r="K167" i="50"/>
  <c r="K165" i="50"/>
  <c r="E125" i="8"/>
  <c r="I692" i="5"/>
  <c r="G343" i="50" s="1"/>
  <c r="M148" i="5"/>
  <c r="F16" i="73" s="1"/>
  <c r="L552" i="5"/>
  <c r="K302" i="50"/>
  <c r="K297" i="50"/>
  <c r="M297" i="50" s="1"/>
  <c r="N297" i="50" s="1"/>
  <c r="K304" i="50"/>
  <c r="D44" i="51"/>
  <c r="I44" i="51" s="1"/>
  <c r="J44" i="51" s="1"/>
  <c r="K182" i="50"/>
  <c r="K180" i="50"/>
  <c r="M180" i="50" s="1"/>
  <c r="N180" i="50" s="1"/>
  <c r="K183" i="50"/>
  <c r="K184" i="50"/>
  <c r="K181" i="50"/>
  <c r="K2796" i="18"/>
  <c r="G177" i="50"/>
  <c r="I177" i="50" s="1"/>
  <c r="J177" i="50" s="1"/>
  <c r="G178" i="50"/>
  <c r="G14" i="68"/>
  <c r="G22" i="50"/>
  <c r="G17" i="50"/>
  <c r="G25" i="50"/>
  <c r="G20" i="50"/>
  <c r="G15" i="50"/>
  <c r="I15" i="50" s="1"/>
  <c r="J15" i="50" s="1"/>
  <c r="G23" i="50"/>
  <c r="G18" i="50"/>
  <c r="G26" i="50"/>
  <c r="G19" i="50"/>
  <c r="G24" i="50"/>
  <c r="G16" i="50"/>
  <c r="G21" i="50"/>
  <c r="G27" i="50"/>
  <c r="K19" i="50"/>
  <c r="K27" i="50"/>
  <c r="K22" i="50"/>
  <c r="K17" i="50"/>
  <c r="K25" i="50"/>
  <c r="K20" i="50"/>
  <c r="K15" i="50"/>
  <c r="M15" i="50" s="1"/>
  <c r="N15" i="50" s="1"/>
  <c r="K23" i="50"/>
  <c r="K24" i="50"/>
  <c r="K16" i="50"/>
  <c r="K21" i="50"/>
  <c r="K26" i="50"/>
  <c r="K18" i="50"/>
  <c r="L22" i="68"/>
  <c r="K236" i="50"/>
  <c r="M236" i="50" s="1"/>
  <c r="N236" i="50" s="1"/>
  <c r="K237" i="50"/>
  <c r="F88" i="8"/>
  <c r="E33" i="69"/>
  <c r="G317" i="50"/>
  <c r="I317" i="50" s="1"/>
  <c r="J317" i="50" s="1"/>
  <c r="M445" i="5"/>
  <c r="W24" i="75" s="1"/>
  <c r="L585" i="5"/>
  <c r="H15" i="68"/>
  <c r="K35" i="50"/>
  <c r="K43" i="50"/>
  <c r="K30" i="50"/>
  <c r="K38" i="50"/>
  <c r="K46" i="50"/>
  <c r="K33" i="50"/>
  <c r="K41" i="50"/>
  <c r="K28" i="50"/>
  <c r="M28" i="50" s="1"/>
  <c r="N28" i="50" s="1"/>
  <c r="K36" i="50"/>
  <c r="K44" i="50"/>
  <c r="K31" i="50"/>
  <c r="K39" i="50"/>
  <c r="K32" i="50"/>
  <c r="K37" i="50"/>
  <c r="K42" i="50"/>
  <c r="K29" i="50"/>
  <c r="K34" i="50"/>
  <c r="K40" i="50"/>
  <c r="K45" i="50"/>
  <c r="M550" i="5"/>
  <c r="Z31" i="71" s="1"/>
  <c r="E13" i="74"/>
  <c r="G337" i="50"/>
  <c r="E29" i="69"/>
  <c r="G316" i="50"/>
  <c r="I316" i="50" s="1"/>
  <c r="J316" i="50" s="1"/>
  <c r="G265" i="50"/>
  <c r="G263" i="50"/>
  <c r="G266" i="50"/>
  <c r="G264" i="50"/>
  <c r="G262" i="50"/>
  <c r="I262" i="50" s="1"/>
  <c r="J262" i="50" s="1"/>
  <c r="H38" i="68"/>
  <c r="K147" i="50"/>
  <c r="K155" i="50"/>
  <c r="K142" i="50"/>
  <c r="M142" i="50" s="1"/>
  <c r="N142" i="50" s="1"/>
  <c r="K150" i="50"/>
  <c r="K145" i="50"/>
  <c r="K153" i="50"/>
  <c r="K148" i="50"/>
  <c r="K143" i="50"/>
  <c r="K151" i="50"/>
  <c r="K152" i="50"/>
  <c r="K144" i="50"/>
  <c r="K149" i="50"/>
  <c r="K154" i="50"/>
  <c r="K146" i="50"/>
  <c r="AB18" i="2"/>
  <c r="AB16" i="2"/>
  <c r="J809" i="5"/>
  <c r="X18" i="2"/>
  <c r="X15" i="2" s="1"/>
  <c r="X40" i="2" s="1"/>
  <c r="M94" i="5"/>
  <c r="L33" i="68" s="1"/>
  <c r="J4426" i="18"/>
  <c r="J4435" i="18" s="1"/>
  <c r="G1933" i="18"/>
  <c r="G1496" i="18"/>
  <c r="G2143" i="18"/>
  <c r="D2143" i="18" s="1"/>
  <c r="J1911" i="18"/>
  <c r="J851" i="18"/>
  <c r="G2142" i="18"/>
  <c r="J254" i="18"/>
  <c r="G2354" i="18"/>
  <c r="G1497" i="18"/>
  <c r="D1497" i="18" s="1"/>
  <c r="G2355" i="18"/>
  <c r="D2355" i="18" s="1"/>
  <c r="J2121" i="18"/>
  <c r="J1472" i="18"/>
  <c r="J582" i="18"/>
  <c r="G1932" i="18"/>
  <c r="J4370" i="18"/>
  <c r="H2545" i="18"/>
  <c r="H2554" i="18" s="1"/>
  <c r="K2543" i="18" s="1"/>
  <c r="H2532" i="18"/>
  <c r="H2541" i="18" s="1"/>
  <c r="K2530" i="18" s="1"/>
  <c r="J2333" i="18"/>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216" i="18"/>
  <c r="H3191" i="18"/>
  <c r="H5578"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990" i="18"/>
  <c r="I1004" i="18" s="1"/>
  <c r="I4249" i="18"/>
  <c r="I4258" i="18" s="1"/>
  <c r="H4271" i="18"/>
  <c r="H4277" i="18" s="1"/>
  <c r="I2023" i="18"/>
  <c r="I2029" i="18" s="1"/>
  <c r="Q2021" i="18" s="1"/>
  <c r="H2034" i="18"/>
  <c r="J3271" i="18"/>
  <c r="H5422" i="18"/>
  <c r="G2011" i="18"/>
  <c r="H2276" i="18"/>
  <c r="I700" i="18"/>
  <c r="I704" i="18" s="1"/>
  <c r="N698" i="18" s="1"/>
  <c r="G2561" i="18"/>
  <c r="G2585" i="18"/>
  <c r="G3020" i="18"/>
  <c r="G2596" i="18"/>
  <c r="G2602" i="18"/>
  <c r="K3271" i="18"/>
  <c r="G3010" i="18"/>
  <c r="L2276" i="18"/>
  <c r="G3039" i="18"/>
  <c r="G3029" i="18"/>
  <c r="G2575" i="18"/>
  <c r="D2575" i="18" s="1"/>
  <c r="J2276" i="18"/>
  <c r="L3981" i="18"/>
  <c r="L3987"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Z9" i="75" s="1"/>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L2797" i="18"/>
  <c r="L2810"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M11" i="7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K21" i="72"/>
  <c r="K29" i="68"/>
  <c r="L10" i="72"/>
  <c r="L12" i="68"/>
  <c r="F21" i="73"/>
  <c r="F34" i="69"/>
  <c r="H12" i="72"/>
  <c r="H14" i="68"/>
  <c r="E114" i="70"/>
  <c r="F95" i="70"/>
  <c r="F122" i="70" s="1"/>
  <c r="E95" i="70"/>
  <c r="E122" i="70" s="1"/>
  <c r="E118" i="70"/>
  <c r="F118" i="70"/>
  <c r="F120" i="70" s="1"/>
  <c r="F121" i="70" s="1"/>
  <c r="F114" i="70"/>
  <c r="V30" i="71"/>
  <c r="V29" i="75"/>
  <c r="H30" i="71"/>
  <c r="H29" i="75"/>
  <c r="E17" i="73"/>
  <c r="H34" i="71"/>
  <c r="H33" i="75"/>
  <c r="Y9" i="71"/>
  <c r="Y9" i="75"/>
  <c r="L46" i="68"/>
  <c r="L37" i="72"/>
  <c r="V10" i="71"/>
  <c r="V10" i="75"/>
  <c r="V11" i="71"/>
  <c r="V11" i="75"/>
  <c r="AB11" i="71"/>
  <c r="AB11" i="75"/>
  <c r="H25" i="71"/>
  <c r="H24" i="75"/>
  <c r="Y30" i="71"/>
  <c r="Y29" i="75"/>
  <c r="U24" i="71"/>
  <c r="U23" i="75"/>
  <c r="AA12" i="71"/>
  <c r="AA12" i="75"/>
  <c r="D18" i="51"/>
  <c r="I18" i="51" s="1"/>
  <c r="J18" i="51" s="1"/>
  <c r="H13" i="72"/>
  <c r="F110" i="47"/>
  <c r="E20" i="73"/>
  <c r="L16" i="72"/>
  <c r="L22" i="71"/>
  <c r="L22" i="75"/>
  <c r="E97" i="74"/>
  <c r="H5130" i="18"/>
  <c r="I5131" i="18"/>
  <c r="F101" i="74"/>
  <c r="F103" i="74" s="1"/>
  <c r="F104" i="74" s="1"/>
  <c r="F78" i="74"/>
  <c r="F97" i="74"/>
  <c r="I5130" i="18"/>
  <c r="L28" i="71"/>
  <c r="L27" i="75"/>
  <c r="AB34" i="71"/>
  <c r="AB33" i="75"/>
  <c r="AB27" i="71"/>
  <c r="AB26" i="75"/>
  <c r="AA27" i="71"/>
  <c r="AA26" i="75"/>
  <c r="H28" i="71"/>
  <c r="H27" i="75"/>
  <c r="V22" i="71"/>
  <c r="V22" i="75"/>
  <c r="X28" i="71"/>
  <c r="X27" i="75"/>
  <c r="Q27" i="71"/>
  <c r="Q26" i="75"/>
  <c r="L9" i="71"/>
  <c r="L9" i="75"/>
  <c r="J24" i="71"/>
  <c r="J23" i="75"/>
  <c r="E42" i="70"/>
  <c r="E26" i="74"/>
  <c r="F48" i="73"/>
  <c r="F13" i="69"/>
  <c r="F8" i="73"/>
  <c r="Q32" i="71"/>
  <c r="Q31" i="75"/>
  <c r="AB17" i="71"/>
  <c r="AB17" i="75"/>
  <c r="X32" i="71"/>
  <c r="X31" i="75"/>
  <c r="K119" i="18"/>
  <c r="L236" i="18" s="1"/>
  <c r="G12" i="72"/>
  <c r="H27" i="71"/>
  <c r="H26" i="75"/>
  <c r="Y25" i="71"/>
  <c r="Y24" i="75"/>
  <c r="D20" i="71"/>
  <c r="D20" i="75"/>
  <c r="U18" i="71"/>
  <c r="U18" i="75"/>
  <c r="X18" i="71"/>
  <c r="X18" i="75"/>
  <c r="AA11" i="71"/>
  <c r="AA11" i="75"/>
  <c r="E55" i="70"/>
  <c r="E38" i="74"/>
  <c r="F54" i="69"/>
  <c r="F41" i="73"/>
  <c r="K34" i="71"/>
  <c r="K33" i="75"/>
  <c r="AA18" i="71"/>
  <c r="AA18" i="75"/>
  <c r="H5131" i="18"/>
  <c r="E101" i="74"/>
  <c r="E78" i="74"/>
  <c r="S15" i="71"/>
  <c r="R11" i="71"/>
  <c r="T19" i="71"/>
  <c r="S12" i="71"/>
  <c r="T15" i="71"/>
  <c r="T34" i="71"/>
  <c r="W9" i="71"/>
  <c r="R24" i="71"/>
  <c r="T27" i="71"/>
  <c r="W25" i="71"/>
  <c r="S23" i="71"/>
  <c r="T9" i="71"/>
  <c r="W24" i="71"/>
  <c r="F75" i="47"/>
  <c r="D39" i="47"/>
  <c r="K3926" i="18"/>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47" i="51"/>
  <c r="I47" i="51" s="1"/>
  <c r="J47" i="51" s="1"/>
  <c r="D59" i="47"/>
  <c r="F70" i="47"/>
  <c r="D65" i="47"/>
  <c r="J170" i="5"/>
  <c r="J192" i="5" s="1"/>
  <c r="D111" i="47"/>
  <c r="D106" i="48"/>
  <c r="K4820" i="18"/>
  <c r="L4821" i="18" s="1"/>
  <c r="N4487" i="18"/>
  <c r="O4507" i="18" s="1"/>
  <c r="F65" i="52"/>
  <c r="F13" i="52" s="1"/>
  <c r="D102" i="51"/>
  <c r="I102" i="51" s="1"/>
  <c r="J102" i="51" s="1"/>
  <c r="D102" i="47"/>
  <c r="F109" i="5"/>
  <c r="F125" i="5" s="1"/>
  <c r="F787" i="5" s="1"/>
  <c r="F20" i="52"/>
  <c r="D90" i="47"/>
  <c r="N119" i="18"/>
  <c r="O236" i="18" s="1"/>
  <c r="D44" i="47"/>
  <c r="L6185" i="18"/>
  <c r="N2556" i="18"/>
  <c r="D17" i="51"/>
  <c r="I17" i="51" s="1"/>
  <c r="J17" i="51" s="1"/>
  <c r="N316" i="18"/>
  <c r="O500" i="18" s="1"/>
  <c r="F42" i="47"/>
  <c r="D18" i="47"/>
  <c r="D89" i="47"/>
  <c r="N2829" i="18"/>
  <c r="O2830" i="18" s="1"/>
  <c r="K5995" i="18"/>
  <c r="L5996"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J711" i="5"/>
  <c r="M709" i="5"/>
  <c r="M683" i="5"/>
  <c r="F127" i="8"/>
  <c r="F128" i="8" s="1"/>
  <c r="E127" i="8"/>
  <c r="E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F17" i="47"/>
  <c r="O5334" i="18"/>
  <c r="N317" i="18"/>
  <c r="O5376" i="18"/>
  <c r="P5376" i="18" s="1"/>
  <c r="K317" i="18"/>
  <c r="O5360" i="18"/>
  <c r="P5360" i="18" s="1"/>
  <c r="K988" i="18"/>
  <c r="O5361" i="18"/>
  <c r="P5361" i="18" s="1"/>
  <c r="G94" i="51"/>
  <c r="F109" i="47"/>
  <c r="K4798" i="18"/>
  <c r="L4799" i="18" s="1"/>
  <c r="F12" i="48"/>
  <c r="D122" i="47"/>
  <c r="G90" i="51"/>
  <c r="G87" i="51"/>
  <c r="G88" i="51"/>
  <c r="G92" i="51"/>
  <c r="G91" i="51"/>
  <c r="G96" i="51"/>
  <c r="G89" i="51"/>
  <c r="G95" i="51"/>
  <c r="K4050" i="18"/>
  <c r="G50" i="51"/>
  <c r="G47" i="51"/>
  <c r="L6212" i="18"/>
  <c r="F58" i="52"/>
  <c r="F18" i="52" s="1"/>
  <c r="F54" i="52"/>
  <c r="F21" i="52" s="1"/>
  <c r="J737" i="5"/>
  <c r="J822" i="5" s="1"/>
  <c r="F108" i="8"/>
  <c r="F110" i="8" s="1"/>
  <c r="F113" i="8"/>
  <c r="F115" i="8" s="1"/>
  <c r="F116"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238" i="50"/>
  <c r="L67" i="46"/>
  <c r="G78" i="46"/>
  <c r="L11" i="46"/>
  <c r="G43" i="46"/>
  <c r="G84" i="46"/>
  <c r="L12" i="46"/>
  <c r="G83" i="46"/>
  <c r="L65" i="46"/>
  <c r="G46" i="46"/>
  <c r="N4775" i="18" l="1"/>
  <c r="O4776" i="18" s="1"/>
  <c r="D108" i="47"/>
  <c r="D108" i="51"/>
  <c r="I108" i="51" s="1"/>
  <c r="J108" i="51" s="1"/>
  <c r="T16" i="75"/>
  <c r="M12" i="46"/>
  <c r="N12" i="46" s="1"/>
  <c r="M11" i="46"/>
  <c r="N11" i="46" s="1"/>
  <c r="M43" i="46"/>
  <c r="N43" i="46" s="1"/>
  <c r="M46" i="46"/>
  <c r="N46" i="46" s="1"/>
  <c r="E105" i="74"/>
  <c r="E24" i="69"/>
  <c r="G311" i="50"/>
  <c r="G312" i="50"/>
  <c r="I312" i="50" s="1"/>
  <c r="J312" i="50" s="1"/>
  <c r="G13" i="68"/>
  <c r="G14" i="50"/>
  <c r="I14" i="50" s="1"/>
  <c r="J14" i="50" s="1"/>
  <c r="E34" i="69"/>
  <c r="G318" i="50"/>
  <c r="I318" i="50" s="1"/>
  <c r="J318" i="50" s="1"/>
  <c r="K24" i="68"/>
  <c r="G239" i="50"/>
  <c r="I239" i="50" s="1"/>
  <c r="J239" i="50" s="1"/>
  <c r="G240" i="50"/>
  <c r="E15" i="74"/>
  <c r="G329" i="50"/>
  <c r="I329" i="50" s="1"/>
  <c r="J329" i="50" s="1"/>
  <c r="G330" i="50"/>
  <c r="E14" i="74"/>
  <c r="G338" i="50"/>
  <c r="F37" i="69"/>
  <c r="K321" i="50"/>
  <c r="M321" i="50" s="1"/>
  <c r="N321" i="50" s="1"/>
  <c r="N4117" i="18"/>
  <c r="K268" i="50"/>
  <c r="M268" i="50" s="1"/>
  <c r="N268" i="50" s="1"/>
  <c r="K269" i="50"/>
  <c r="H52" i="68"/>
  <c r="K205" i="50"/>
  <c r="M205" i="50" s="1"/>
  <c r="N205" i="50" s="1"/>
  <c r="L14" i="68"/>
  <c r="K216" i="50"/>
  <c r="M216" i="50" s="1"/>
  <c r="N216" i="50" s="1"/>
  <c r="D109" i="47"/>
  <c r="K316" i="50"/>
  <c r="M316" i="50" s="1"/>
  <c r="N316" i="50" s="1"/>
  <c r="N3420" i="18"/>
  <c r="K215" i="50"/>
  <c r="M215" i="50" s="1"/>
  <c r="N215" i="50" s="1"/>
  <c r="H44" i="68"/>
  <c r="K179" i="50"/>
  <c r="M179" i="50" s="1"/>
  <c r="N179" i="50" s="1"/>
  <c r="D32" i="47"/>
  <c r="K131" i="50"/>
  <c r="K134" i="50"/>
  <c r="K137" i="50"/>
  <c r="K132" i="50"/>
  <c r="K135" i="50"/>
  <c r="K133" i="50"/>
  <c r="K130" i="50"/>
  <c r="M130" i="50" s="1"/>
  <c r="N130" i="50" s="1"/>
  <c r="K136" i="50"/>
  <c r="F23" i="73"/>
  <c r="K320" i="50"/>
  <c r="M320" i="50" s="1"/>
  <c r="N320" i="50" s="1"/>
  <c r="H16" i="72"/>
  <c r="K63" i="50"/>
  <c r="M63" i="50" s="1"/>
  <c r="N63" i="50" s="1"/>
  <c r="H50" i="68"/>
  <c r="K198" i="50"/>
  <c r="M198" i="50" s="1"/>
  <c r="N198" i="50" s="1"/>
  <c r="K199" i="50"/>
  <c r="H26" i="68"/>
  <c r="K111" i="50"/>
  <c r="K112" i="50"/>
  <c r="L11" i="68"/>
  <c r="K212" i="50"/>
  <c r="M212" i="50" s="1"/>
  <c r="N212" i="50" s="1"/>
  <c r="K213" i="50"/>
  <c r="AB15" i="2"/>
  <c r="AB40" i="2" s="1"/>
  <c r="G39" i="68"/>
  <c r="G158" i="50"/>
  <c r="G156" i="50"/>
  <c r="I156" i="50" s="1"/>
  <c r="J156" i="50" s="1"/>
  <c r="G157" i="50"/>
  <c r="I5134" i="18"/>
  <c r="F107" i="47"/>
  <c r="G313" i="50"/>
  <c r="I313" i="50" s="1"/>
  <c r="J313" i="50" s="1"/>
  <c r="G314" i="50"/>
  <c r="K987" i="18"/>
  <c r="G70" i="50"/>
  <c r="G78" i="50"/>
  <c r="G86" i="50"/>
  <c r="G94" i="50"/>
  <c r="G73" i="50"/>
  <c r="G81" i="50"/>
  <c r="G89" i="50"/>
  <c r="G97" i="50"/>
  <c r="G68" i="50"/>
  <c r="I68" i="50" s="1"/>
  <c r="J68" i="50" s="1"/>
  <c r="G76" i="50"/>
  <c r="G84" i="50"/>
  <c r="G92" i="50"/>
  <c r="G100" i="50"/>
  <c r="G71" i="50"/>
  <c r="G79" i="50"/>
  <c r="G87" i="50"/>
  <c r="G95" i="50"/>
  <c r="G74" i="50"/>
  <c r="G82" i="50"/>
  <c r="G90" i="50"/>
  <c r="G98" i="50"/>
  <c r="G69" i="50"/>
  <c r="I69" i="50" s="1"/>
  <c r="J69" i="50" s="1"/>
  <c r="G83" i="50"/>
  <c r="G88" i="50"/>
  <c r="G93" i="50"/>
  <c r="G75" i="50"/>
  <c r="G80" i="50"/>
  <c r="G85" i="50"/>
  <c r="G72" i="50"/>
  <c r="G99" i="50"/>
  <c r="G77" i="50"/>
  <c r="G91" i="50"/>
  <c r="G96" i="50"/>
  <c r="G34" i="68"/>
  <c r="G118" i="50"/>
  <c r="G121" i="50"/>
  <c r="G116" i="50"/>
  <c r="I116" i="50" s="1"/>
  <c r="J116" i="50" s="1"/>
  <c r="G119" i="50"/>
  <c r="G122" i="50"/>
  <c r="G120" i="50"/>
  <c r="G117" i="50"/>
  <c r="G123" i="50"/>
  <c r="V51" i="75"/>
  <c r="F78" i="47"/>
  <c r="G271" i="50"/>
  <c r="G270" i="50"/>
  <c r="I270" i="50" s="1"/>
  <c r="J270" i="50" s="1"/>
  <c r="E22" i="69"/>
  <c r="G308" i="50"/>
  <c r="G307" i="50"/>
  <c r="I307" i="50" s="1"/>
  <c r="J307" i="50" s="1"/>
  <c r="K22" i="68"/>
  <c r="G236" i="50"/>
  <c r="I236" i="50" s="1"/>
  <c r="J236" i="50" s="1"/>
  <c r="G237" i="50"/>
  <c r="E21" i="69"/>
  <c r="G305" i="50"/>
  <c r="I305" i="50" s="1"/>
  <c r="J305" i="50" s="1"/>
  <c r="G306" i="50"/>
  <c r="G25" i="68"/>
  <c r="G102" i="50"/>
  <c r="G110" i="50"/>
  <c r="G105" i="50"/>
  <c r="G108" i="50"/>
  <c r="G103" i="50"/>
  <c r="G106" i="50"/>
  <c r="G101" i="50"/>
  <c r="I101" i="50" s="1"/>
  <c r="J101" i="50" s="1"/>
  <c r="G107" i="50"/>
  <c r="G104" i="50"/>
  <c r="G109" i="50"/>
  <c r="K39" i="68"/>
  <c r="G273" i="50"/>
  <c r="G276" i="50"/>
  <c r="G274" i="50"/>
  <c r="G277" i="50"/>
  <c r="G275" i="50"/>
  <c r="G272" i="50"/>
  <c r="I272" i="50" s="1"/>
  <c r="J272" i="50" s="1"/>
  <c r="G28" i="68"/>
  <c r="G115" i="50"/>
  <c r="I115" i="50" s="1"/>
  <c r="J115" i="50" s="1"/>
  <c r="G28" i="72"/>
  <c r="G140" i="50"/>
  <c r="G138" i="50"/>
  <c r="I138" i="50" s="1"/>
  <c r="J138" i="50" s="1"/>
  <c r="G139" i="50"/>
  <c r="G141" i="50"/>
  <c r="G17" i="68"/>
  <c r="G62" i="50"/>
  <c r="G57" i="50"/>
  <c r="I57" i="50" s="1"/>
  <c r="J57" i="50" s="1"/>
  <c r="G60" i="50"/>
  <c r="I60" i="50" s="1"/>
  <c r="J60" i="50" s="1"/>
  <c r="G58" i="50"/>
  <c r="G61" i="50"/>
  <c r="G59" i="50"/>
  <c r="E29" i="73"/>
  <c r="G325" i="50"/>
  <c r="I325" i="50" s="1"/>
  <c r="J325" i="50" s="1"/>
  <c r="G326" i="50"/>
  <c r="E28" i="69"/>
  <c r="G315" i="50"/>
  <c r="I315" i="50" s="1"/>
  <c r="J315" i="50" s="1"/>
  <c r="G45" i="68"/>
  <c r="G186" i="50"/>
  <c r="I186" i="50" s="1"/>
  <c r="J186" i="50" s="1"/>
  <c r="G187" i="50"/>
  <c r="E19" i="74"/>
  <c r="G339" i="50"/>
  <c r="H47" i="68"/>
  <c r="K190" i="50"/>
  <c r="K193" i="50"/>
  <c r="K191" i="50"/>
  <c r="K194" i="50"/>
  <c r="K192" i="50"/>
  <c r="K189" i="50"/>
  <c r="M189" i="50" s="1"/>
  <c r="N189" i="50" s="1"/>
  <c r="H40" i="68"/>
  <c r="K159" i="50"/>
  <c r="M159" i="50" s="1"/>
  <c r="N159" i="50" s="1"/>
  <c r="K160" i="50"/>
  <c r="L42" i="68"/>
  <c r="K201" i="50"/>
  <c r="M201" i="50" s="1"/>
  <c r="N201" i="50" s="1"/>
  <c r="H43" i="68"/>
  <c r="K168" i="50"/>
  <c r="M168" i="50" s="1"/>
  <c r="N168" i="50" s="1"/>
  <c r="F24" i="69"/>
  <c r="K311" i="50"/>
  <c r="K312" i="50"/>
  <c r="M312" i="50" s="1"/>
  <c r="N312" i="50" s="1"/>
  <c r="L47" i="68"/>
  <c r="Q52" i="71" s="1"/>
  <c r="K284" i="50"/>
  <c r="M284" i="50" s="1"/>
  <c r="N284" i="50" s="1"/>
  <c r="K283" i="50"/>
  <c r="H41" i="68"/>
  <c r="K161" i="50"/>
  <c r="M161" i="50" s="1"/>
  <c r="N161" i="50" s="1"/>
  <c r="K162" i="50"/>
  <c r="K163" i="50"/>
  <c r="F33" i="69"/>
  <c r="K317" i="50"/>
  <c r="M317" i="50" s="1"/>
  <c r="N317" i="50" s="1"/>
  <c r="M857" i="5"/>
  <c r="K290" i="50"/>
  <c r="M290" i="50" s="1"/>
  <c r="N290" i="50" s="1"/>
  <c r="D103" i="47"/>
  <c r="K305" i="50"/>
  <c r="M305" i="50" s="1"/>
  <c r="N305" i="50" s="1"/>
  <c r="K306" i="50"/>
  <c r="H11" i="68"/>
  <c r="K12" i="50"/>
  <c r="M12" i="50" s="1"/>
  <c r="N12" i="50" s="1"/>
  <c r="L26" i="72"/>
  <c r="K262" i="50"/>
  <c r="M262" i="50" s="1"/>
  <c r="N262" i="50" s="1"/>
  <c r="K265" i="50"/>
  <c r="K263" i="50"/>
  <c r="K266" i="50"/>
  <c r="K264" i="50"/>
  <c r="D31" i="51"/>
  <c r="I31" i="51" s="1"/>
  <c r="J31" i="51" s="1"/>
  <c r="K126" i="50"/>
  <c r="K129" i="50"/>
  <c r="K124" i="50"/>
  <c r="M124" i="50" s="1"/>
  <c r="N124" i="50" s="1"/>
  <c r="K127" i="50"/>
  <c r="K128" i="50"/>
  <c r="K125" i="50"/>
  <c r="F7" i="73"/>
  <c r="K303" i="50"/>
  <c r="K301" i="50"/>
  <c r="K296" i="50"/>
  <c r="M296" i="50" s="1"/>
  <c r="N296" i="50" s="1"/>
  <c r="K28" i="68"/>
  <c r="G250" i="50"/>
  <c r="I250" i="50" s="1"/>
  <c r="J250" i="50" s="1"/>
  <c r="E7" i="73"/>
  <c r="G303" i="50"/>
  <c r="G301" i="50"/>
  <c r="G296" i="50"/>
  <c r="I296" i="50" s="1"/>
  <c r="J296" i="50" s="1"/>
  <c r="K14" i="68"/>
  <c r="G216" i="50"/>
  <c r="I216" i="50" s="1"/>
  <c r="J216" i="50" s="1"/>
  <c r="E88" i="8"/>
  <c r="G50" i="68"/>
  <c r="G199" i="50"/>
  <c r="G198" i="50"/>
  <c r="I198" i="50" s="1"/>
  <c r="J198" i="50" s="1"/>
  <c r="I861" i="5"/>
  <c r="G291" i="50"/>
  <c r="I291" i="50" s="1"/>
  <c r="J291" i="50" s="1"/>
  <c r="E35" i="69"/>
  <c r="G319" i="50"/>
  <c r="I319" i="50" s="1"/>
  <c r="J319" i="50" s="1"/>
  <c r="K15" i="68"/>
  <c r="G217" i="50"/>
  <c r="I217" i="50" s="1"/>
  <c r="J217" i="50" s="1"/>
  <c r="G220" i="50"/>
  <c r="G223" i="50"/>
  <c r="G218" i="50"/>
  <c r="I218" i="50" s="1"/>
  <c r="J218" i="50" s="1"/>
  <c r="G221" i="50"/>
  <c r="G222" i="50"/>
  <c r="G219" i="50"/>
  <c r="I845" i="5"/>
  <c r="G287" i="50"/>
  <c r="I287" i="50" s="1"/>
  <c r="J287" i="50" s="1"/>
  <c r="K48" i="68"/>
  <c r="G285" i="50"/>
  <c r="G286" i="50"/>
  <c r="I286" i="50" s="1"/>
  <c r="J286" i="50" s="1"/>
  <c r="K3996" i="18"/>
  <c r="L3997" i="18" s="1"/>
  <c r="G257" i="50"/>
  <c r="I257" i="50" s="1"/>
  <c r="J257" i="50" s="1"/>
  <c r="G260" i="50"/>
  <c r="G258" i="50"/>
  <c r="G261" i="50"/>
  <c r="G259" i="50"/>
  <c r="K8" i="68"/>
  <c r="G209" i="50"/>
  <c r="G207" i="50"/>
  <c r="G210" i="50"/>
  <c r="G206" i="50"/>
  <c r="I206" i="50" s="1"/>
  <c r="J206" i="50" s="1"/>
  <c r="G211" i="50"/>
  <c r="G208" i="50"/>
  <c r="K12" i="68"/>
  <c r="G214" i="50"/>
  <c r="I214" i="50" s="1"/>
  <c r="J214" i="50" s="1"/>
  <c r="G27" i="68"/>
  <c r="G113" i="50"/>
  <c r="I113" i="50" s="1"/>
  <c r="J113" i="50" s="1"/>
  <c r="G114" i="50"/>
  <c r="E22" i="70"/>
  <c r="G336" i="50"/>
  <c r="H11" i="72"/>
  <c r="K14" i="50"/>
  <c r="M14" i="50" s="1"/>
  <c r="N14" i="50" s="1"/>
  <c r="D105" i="47"/>
  <c r="K310" i="50"/>
  <c r="K309" i="50"/>
  <c r="M309" i="50" s="1"/>
  <c r="N309" i="50" s="1"/>
  <c r="L29" i="68"/>
  <c r="K254" i="50"/>
  <c r="K252" i="50"/>
  <c r="K251" i="50"/>
  <c r="M251" i="50" s="1"/>
  <c r="N251" i="50" s="1"/>
  <c r="K253" i="50"/>
  <c r="L41" i="68"/>
  <c r="K279" i="50"/>
  <c r="M279" i="50" s="1"/>
  <c r="N279" i="50" s="1"/>
  <c r="K280" i="50"/>
  <c r="L21" i="68"/>
  <c r="K233" i="50"/>
  <c r="K231" i="50"/>
  <c r="M231" i="50" s="1"/>
  <c r="N231" i="50" s="1"/>
  <c r="K234" i="50"/>
  <c r="K232" i="50"/>
  <c r="K235" i="50"/>
  <c r="F29" i="73"/>
  <c r="K326" i="50"/>
  <c r="K325" i="50"/>
  <c r="M325" i="50" s="1"/>
  <c r="N325" i="50" s="1"/>
  <c r="N4146" i="18"/>
  <c r="O4147" i="18" s="1"/>
  <c r="K270" i="50"/>
  <c r="M270" i="50" s="1"/>
  <c r="N270" i="50" s="1"/>
  <c r="K271" i="50"/>
  <c r="F105" i="74"/>
  <c r="G16" i="68"/>
  <c r="G54" i="50"/>
  <c r="G49" i="50"/>
  <c r="G52" i="50"/>
  <c r="G47" i="50"/>
  <c r="I47" i="50" s="1"/>
  <c r="J47" i="50" s="1"/>
  <c r="G55" i="50"/>
  <c r="G50" i="50"/>
  <c r="G51" i="50"/>
  <c r="G56" i="50"/>
  <c r="G48" i="50"/>
  <c r="G53" i="50"/>
  <c r="U51" i="75"/>
  <c r="G38" i="68"/>
  <c r="G142" i="50"/>
  <c r="I142" i="50" s="1"/>
  <c r="J142" i="50" s="1"/>
  <c r="G150" i="50"/>
  <c r="G145" i="50"/>
  <c r="G153" i="50"/>
  <c r="G148" i="50"/>
  <c r="G143" i="50"/>
  <c r="G151" i="50"/>
  <c r="G146" i="50"/>
  <c r="G154" i="50"/>
  <c r="G147" i="50"/>
  <c r="G152" i="50"/>
  <c r="G144" i="50"/>
  <c r="G149" i="50"/>
  <c r="G155" i="50"/>
  <c r="G32" i="72"/>
  <c r="G161" i="50"/>
  <c r="I161" i="50" s="1"/>
  <c r="J161" i="50" s="1"/>
  <c r="G162" i="50"/>
  <c r="G163" i="50"/>
  <c r="G8" i="72"/>
  <c r="G9" i="50"/>
  <c r="I9" i="50" s="1"/>
  <c r="J9" i="50" s="1"/>
  <c r="G10" i="50"/>
  <c r="I10" i="50" s="1"/>
  <c r="J10" i="50" s="1"/>
  <c r="G11" i="50"/>
  <c r="K13" i="68"/>
  <c r="G215" i="50"/>
  <c r="I215" i="50" s="1"/>
  <c r="J215" i="50" s="1"/>
  <c r="K3828" i="18"/>
  <c r="L3829" i="18" s="1"/>
  <c r="G249" i="50"/>
  <c r="G244" i="50"/>
  <c r="I244" i="50" s="1"/>
  <c r="J244" i="50" s="1"/>
  <c r="G247" i="50"/>
  <c r="G245" i="50"/>
  <c r="G246" i="50"/>
  <c r="G243" i="50"/>
  <c r="I243" i="50" s="1"/>
  <c r="J243" i="50" s="1"/>
  <c r="G248" i="50"/>
  <c r="G47" i="68"/>
  <c r="G193" i="50"/>
  <c r="G191" i="50"/>
  <c r="G194" i="50"/>
  <c r="G189" i="50"/>
  <c r="I189" i="50" s="1"/>
  <c r="J189" i="50" s="1"/>
  <c r="G190" i="50"/>
  <c r="G192" i="50"/>
  <c r="E21" i="74"/>
  <c r="G341" i="50"/>
  <c r="H709" i="5"/>
  <c r="E8" i="74"/>
  <c r="G335" i="50"/>
  <c r="E33" i="74"/>
  <c r="G344" i="50"/>
  <c r="H34" i="68"/>
  <c r="K123" i="50"/>
  <c r="K118" i="50"/>
  <c r="K121" i="50"/>
  <c r="K116" i="50"/>
  <c r="M116" i="50" s="1"/>
  <c r="N116" i="50" s="1"/>
  <c r="K119" i="50"/>
  <c r="K120" i="50"/>
  <c r="K117" i="50"/>
  <c r="K122" i="50"/>
  <c r="H28" i="68"/>
  <c r="K115" i="50"/>
  <c r="N3318" i="18"/>
  <c r="K206" i="50"/>
  <c r="M206" i="50" s="1"/>
  <c r="N206" i="50" s="1"/>
  <c r="K209" i="50"/>
  <c r="K207" i="50"/>
  <c r="K210" i="50"/>
  <c r="K208" i="50"/>
  <c r="K211" i="50"/>
  <c r="D75" i="48"/>
  <c r="K59" i="50"/>
  <c r="K62" i="50"/>
  <c r="K57" i="50"/>
  <c r="M57" i="50" s="1"/>
  <c r="N57" i="50" s="1"/>
  <c r="K60" i="50"/>
  <c r="M60" i="50" s="1"/>
  <c r="N60" i="50" s="1"/>
  <c r="K61" i="50"/>
  <c r="K58" i="50"/>
  <c r="L25" i="68"/>
  <c r="K241" i="50"/>
  <c r="M241" i="50" s="1"/>
  <c r="N241" i="50" s="1"/>
  <c r="K242" i="50"/>
  <c r="L16" i="68"/>
  <c r="K230" i="50"/>
  <c r="K225" i="50"/>
  <c r="M225" i="50" s="1"/>
  <c r="N225" i="50" s="1"/>
  <c r="K228" i="50"/>
  <c r="K226" i="50"/>
  <c r="K227" i="50"/>
  <c r="K224" i="50"/>
  <c r="M224" i="50" s="1"/>
  <c r="N224" i="50" s="1"/>
  <c r="K229" i="50"/>
  <c r="N4448" i="18"/>
  <c r="O4449" i="18" s="1"/>
  <c r="K292" i="50"/>
  <c r="M292" i="50" s="1"/>
  <c r="N292" i="50" s="1"/>
  <c r="H40" i="72"/>
  <c r="K196" i="50"/>
  <c r="M196" i="50" s="1"/>
  <c r="N196" i="50" s="1"/>
  <c r="K197" i="50"/>
  <c r="F27" i="73"/>
  <c r="K324" i="50"/>
  <c r="M324" i="50" s="1"/>
  <c r="N324" i="50" s="1"/>
  <c r="K38" i="72"/>
  <c r="G284" i="50"/>
  <c r="I284" i="50" s="1"/>
  <c r="J284" i="50" s="1"/>
  <c r="G283" i="50"/>
  <c r="K11" i="68"/>
  <c r="G212" i="50"/>
  <c r="I212" i="50" s="1"/>
  <c r="J212" i="50" s="1"/>
  <c r="G213" i="50"/>
  <c r="E27" i="73"/>
  <c r="G324" i="50"/>
  <c r="I324" i="50" s="1"/>
  <c r="J324" i="50" s="1"/>
  <c r="F44" i="47"/>
  <c r="G180" i="50"/>
  <c r="I180" i="50" s="1"/>
  <c r="J180" i="50" s="1"/>
  <c r="G183" i="50"/>
  <c r="G181" i="50"/>
  <c r="G184" i="50"/>
  <c r="G182" i="50"/>
  <c r="G40" i="72"/>
  <c r="G196" i="50"/>
  <c r="I196" i="50" s="1"/>
  <c r="J196" i="50" s="1"/>
  <c r="G197" i="50"/>
  <c r="K42" i="68"/>
  <c r="G201" i="50"/>
  <c r="I201" i="50" s="1"/>
  <c r="J201" i="50" s="1"/>
  <c r="G36" i="68"/>
  <c r="G134" i="50"/>
  <c r="G137" i="50"/>
  <c r="G132" i="50"/>
  <c r="G135" i="50"/>
  <c r="G130" i="50"/>
  <c r="I130" i="50" s="1"/>
  <c r="J130" i="50" s="1"/>
  <c r="G133" i="50"/>
  <c r="G131" i="50"/>
  <c r="G136" i="50"/>
  <c r="K4693" i="18"/>
  <c r="L4694" i="18" s="1"/>
  <c r="G309" i="50"/>
  <c r="I309" i="50" s="1"/>
  <c r="J309" i="50" s="1"/>
  <c r="G310" i="50"/>
  <c r="F23" i="47"/>
  <c r="G66" i="50"/>
  <c r="I66" i="50" s="1"/>
  <c r="J66" i="50" s="1"/>
  <c r="G67" i="50"/>
  <c r="E36" i="69"/>
  <c r="G320" i="50"/>
  <c r="I320" i="50" s="1"/>
  <c r="J320" i="50" s="1"/>
  <c r="E53" i="70"/>
  <c r="G345" i="50"/>
  <c r="E25" i="74"/>
  <c r="G342" i="50"/>
  <c r="E20" i="70"/>
  <c r="G327" i="50"/>
  <c r="I327" i="50" s="1"/>
  <c r="J327" i="50" s="1"/>
  <c r="G328" i="50"/>
  <c r="N3828" i="18"/>
  <c r="K246" i="50"/>
  <c r="K249" i="50"/>
  <c r="K244" i="50"/>
  <c r="M244" i="50" s="1"/>
  <c r="N244" i="50" s="1"/>
  <c r="K247" i="50"/>
  <c r="K245" i="50"/>
  <c r="K243" i="50"/>
  <c r="K248" i="50"/>
  <c r="H51" i="68"/>
  <c r="K200" i="50"/>
  <c r="M200" i="50" s="1"/>
  <c r="N200" i="50" s="1"/>
  <c r="N4246" i="18"/>
  <c r="K278" i="50"/>
  <c r="M278" i="50" s="1"/>
  <c r="N278" i="50" s="1"/>
  <c r="L25" i="72"/>
  <c r="K257" i="50"/>
  <c r="M257" i="50" s="1"/>
  <c r="N257" i="50" s="1"/>
  <c r="K260" i="50"/>
  <c r="K258" i="50"/>
  <c r="K259" i="50"/>
  <c r="K261" i="50"/>
  <c r="H23" i="68"/>
  <c r="K67" i="50"/>
  <c r="K66" i="50"/>
  <c r="M66" i="50" s="1"/>
  <c r="N66" i="50" s="1"/>
  <c r="F22" i="69"/>
  <c r="K308" i="50"/>
  <c r="K307" i="50"/>
  <c r="M307" i="50" s="1"/>
  <c r="N307" i="50" s="1"/>
  <c r="L39" i="68"/>
  <c r="K273" i="50"/>
  <c r="K276" i="50"/>
  <c r="K274" i="50"/>
  <c r="K272" i="50"/>
  <c r="M272" i="50" s="1"/>
  <c r="N272" i="50" s="1"/>
  <c r="K277" i="50"/>
  <c r="K275" i="50"/>
  <c r="E28" i="74"/>
  <c r="G332" i="50"/>
  <c r="I332" i="50" s="1"/>
  <c r="J332" i="50" s="1"/>
  <c r="K16" i="68"/>
  <c r="G225" i="50"/>
  <c r="I225" i="50" s="1"/>
  <c r="J225" i="50" s="1"/>
  <c r="G228" i="50"/>
  <c r="G226" i="50"/>
  <c r="G229" i="50"/>
  <c r="G227" i="50"/>
  <c r="G224" i="50"/>
  <c r="I224" i="50" s="1"/>
  <c r="J224" i="50" s="1"/>
  <c r="G230" i="50"/>
  <c r="K25" i="68"/>
  <c r="G241" i="50"/>
  <c r="I241" i="50" s="1"/>
  <c r="J241" i="50" s="1"/>
  <c r="G242" i="50"/>
  <c r="G13" i="72"/>
  <c r="G30" i="50"/>
  <c r="G38" i="50"/>
  <c r="G46" i="50"/>
  <c r="G33" i="50"/>
  <c r="G41" i="50"/>
  <c r="G28" i="50"/>
  <c r="I28" i="50" s="1"/>
  <c r="J28" i="50" s="1"/>
  <c r="G36" i="50"/>
  <c r="G44" i="50"/>
  <c r="G31" i="50"/>
  <c r="G39" i="50"/>
  <c r="G34" i="50"/>
  <c r="G42" i="50"/>
  <c r="G37" i="50"/>
  <c r="G29" i="50"/>
  <c r="G43" i="50"/>
  <c r="G35" i="50"/>
  <c r="G40" i="50"/>
  <c r="G45" i="50"/>
  <c r="G32" i="50"/>
  <c r="F77" i="47"/>
  <c r="G268" i="50"/>
  <c r="I268" i="50" s="1"/>
  <c r="J268" i="50" s="1"/>
  <c r="G269" i="50"/>
  <c r="E37" i="69"/>
  <c r="G321" i="50"/>
  <c r="I321" i="50" s="1"/>
  <c r="J321" i="50" s="1"/>
  <c r="I857" i="5"/>
  <c r="G290" i="50"/>
  <c r="I290" i="50" s="1"/>
  <c r="J290" i="50" s="1"/>
  <c r="K40" i="68"/>
  <c r="G278" i="50"/>
  <c r="I278" i="50" s="1"/>
  <c r="J278" i="50" s="1"/>
  <c r="K30" i="68"/>
  <c r="G255" i="50"/>
  <c r="I255" i="50" s="1"/>
  <c r="J255" i="50" s="1"/>
  <c r="G256" i="50"/>
  <c r="G26" i="72"/>
  <c r="G126" i="50"/>
  <c r="G129" i="50"/>
  <c r="G124" i="50"/>
  <c r="I124" i="50" s="1"/>
  <c r="J124" i="50" s="1"/>
  <c r="G127" i="50"/>
  <c r="G125" i="50"/>
  <c r="G128" i="50"/>
  <c r="K38" i="68"/>
  <c r="G267" i="50"/>
  <c r="I267" i="50" s="1"/>
  <c r="J267" i="50" s="1"/>
  <c r="K2647" i="18"/>
  <c r="G169" i="50"/>
  <c r="I169" i="50" s="1"/>
  <c r="J169" i="50" s="1"/>
  <c r="G172" i="50"/>
  <c r="G175" i="50"/>
  <c r="G170" i="50"/>
  <c r="G173" i="50"/>
  <c r="G174" i="50"/>
  <c r="G171" i="50"/>
  <c r="G176" i="50"/>
  <c r="K43" i="68"/>
  <c r="G281" i="50"/>
  <c r="I281" i="50" s="1"/>
  <c r="J281" i="50" s="1"/>
  <c r="G282" i="50"/>
  <c r="K56" i="68"/>
  <c r="M52" i="71" s="1"/>
  <c r="G292" i="50"/>
  <c r="I292" i="50" s="1"/>
  <c r="J292" i="50" s="1"/>
  <c r="G48" i="68"/>
  <c r="G195" i="50"/>
  <c r="I195" i="50" s="1"/>
  <c r="J195" i="50" s="1"/>
  <c r="G43" i="68"/>
  <c r="G168" i="50"/>
  <c r="I168" i="50" s="1"/>
  <c r="J168" i="50" s="1"/>
  <c r="E23" i="74"/>
  <c r="G331" i="50"/>
  <c r="I331" i="50" s="1"/>
  <c r="J331" i="50" s="1"/>
  <c r="F25" i="69"/>
  <c r="K313" i="50"/>
  <c r="M313" i="50" s="1"/>
  <c r="N313" i="50" s="1"/>
  <c r="K314" i="50"/>
  <c r="L43" i="68"/>
  <c r="K281" i="50"/>
  <c r="M281" i="50" s="1"/>
  <c r="N281" i="50" s="1"/>
  <c r="K282" i="50"/>
  <c r="H37" i="68"/>
  <c r="K139" i="50"/>
  <c r="K140" i="50"/>
  <c r="K138" i="50"/>
  <c r="M138" i="50" s="1"/>
  <c r="N138" i="50" s="1"/>
  <c r="K141" i="50"/>
  <c r="D41" i="47"/>
  <c r="K174" i="50"/>
  <c r="K169" i="50"/>
  <c r="M169" i="50" s="1"/>
  <c r="N169" i="50" s="1"/>
  <c r="K172" i="50"/>
  <c r="K175" i="50"/>
  <c r="K170" i="50"/>
  <c r="K171" i="50"/>
  <c r="K176" i="50"/>
  <c r="K173" i="50"/>
  <c r="H16" i="68"/>
  <c r="K51" i="50"/>
  <c r="K54" i="50"/>
  <c r="K49" i="50"/>
  <c r="K52" i="50"/>
  <c r="K47" i="50"/>
  <c r="M47" i="50" s="1"/>
  <c r="N47" i="50" s="1"/>
  <c r="K55" i="50"/>
  <c r="K56" i="50"/>
  <c r="K48" i="50"/>
  <c r="K53" i="50"/>
  <c r="K50" i="50"/>
  <c r="L17" i="72"/>
  <c r="K238" i="50"/>
  <c r="M238" i="50" s="1"/>
  <c r="N238" i="50" s="1"/>
  <c r="H25" i="68"/>
  <c r="K107" i="50"/>
  <c r="K102" i="50"/>
  <c r="K110" i="50"/>
  <c r="K105" i="50"/>
  <c r="K108" i="50"/>
  <c r="K103" i="50"/>
  <c r="K101" i="50"/>
  <c r="M101" i="50" s="1"/>
  <c r="N101" i="50" s="1"/>
  <c r="K106" i="50"/>
  <c r="K104" i="50"/>
  <c r="K109" i="50"/>
  <c r="L39" i="72"/>
  <c r="K286" i="50"/>
  <c r="M286" i="50" s="1"/>
  <c r="N286" i="50" s="1"/>
  <c r="K285" i="50"/>
  <c r="G252" i="50"/>
  <c r="G253" i="50"/>
  <c r="G254" i="50"/>
  <c r="G251" i="50"/>
  <c r="I251" i="50" s="1"/>
  <c r="J251" i="50" s="1"/>
  <c r="G52" i="68"/>
  <c r="G205" i="50"/>
  <c r="I205" i="50" s="1"/>
  <c r="J205" i="50" s="1"/>
  <c r="F45" i="47"/>
  <c r="G185" i="50"/>
  <c r="I185" i="50" s="1"/>
  <c r="J185" i="50" s="1"/>
  <c r="G22" i="68"/>
  <c r="G65" i="50"/>
  <c r="G64" i="50"/>
  <c r="I64" i="50" s="1"/>
  <c r="J64" i="50" s="1"/>
  <c r="G12" i="68"/>
  <c r="G13" i="50"/>
  <c r="I13" i="50" s="1"/>
  <c r="J13" i="50" s="1"/>
  <c r="E8" i="73"/>
  <c r="G297" i="50"/>
  <c r="I297" i="50" s="1"/>
  <c r="J297" i="50" s="1"/>
  <c r="G302" i="50"/>
  <c r="G304" i="50"/>
  <c r="G16" i="72"/>
  <c r="G63" i="50"/>
  <c r="I63" i="50" s="1"/>
  <c r="J63" i="50" s="1"/>
  <c r="G40" i="68"/>
  <c r="G159" i="50"/>
  <c r="I159" i="50" s="1"/>
  <c r="J159" i="50" s="1"/>
  <c r="G160" i="50"/>
  <c r="E37" i="74"/>
  <c r="G346" i="50"/>
  <c r="E34" i="74"/>
  <c r="G333" i="50"/>
  <c r="I333" i="50" s="1"/>
  <c r="J333" i="50" s="1"/>
  <c r="N2796" i="18"/>
  <c r="O2810" i="18" s="1"/>
  <c r="K177" i="50"/>
  <c r="M177" i="50" s="1"/>
  <c r="N177" i="50" s="1"/>
  <c r="K178" i="50"/>
  <c r="N2907" i="18"/>
  <c r="O2908" i="18" s="1"/>
  <c r="K185" i="50"/>
  <c r="M185" i="50" s="1"/>
  <c r="N185" i="50" s="1"/>
  <c r="L15" i="68"/>
  <c r="K222" i="50"/>
  <c r="K217" i="50"/>
  <c r="M217" i="50" s="1"/>
  <c r="N217" i="50" s="1"/>
  <c r="K220" i="50"/>
  <c r="K223" i="50"/>
  <c r="K218" i="50"/>
  <c r="M218" i="50" s="1"/>
  <c r="N218" i="50" s="1"/>
  <c r="K219" i="50"/>
  <c r="K221" i="50"/>
  <c r="L38" i="68"/>
  <c r="K267" i="50"/>
  <c r="M267" i="50" s="1"/>
  <c r="N267" i="50" s="1"/>
  <c r="F26" i="73"/>
  <c r="K322" i="50"/>
  <c r="M322" i="50" s="1"/>
  <c r="N322" i="50" s="1"/>
  <c r="K323" i="50"/>
  <c r="L28" i="68"/>
  <c r="K250" i="50"/>
  <c r="M250" i="50" s="1"/>
  <c r="N250" i="50" s="1"/>
  <c r="H36" i="72"/>
  <c r="K186" i="50"/>
  <c r="M186" i="50" s="1"/>
  <c r="N186" i="50" s="1"/>
  <c r="K187" i="50"/>
  <c r="F28" i="69"/>
  <c r="K315" i="50"/>
  <c r="M315" i="50" s="1"/>
  <c r="N315" i="50" s="1"/>
  <c r="K23" i="68"/>
  <c r="G238" i="50"/>
  <c r="I238" i="50" s="1"/>
  <c r="J238" i="50" s="1"/>
  <c r="E26" i="73"/>
  <c r="G322" i="50"/>
  <c r="I322" i="50" s="1"/>
  <c r="J322" i="50" s="1"/>
  <c r="G323" i="50"/>
  <c r="K41" i="68"/>
  <c r="G279" i="50"/>
  <c r="I279" i="50" s="1"/>
  <c r="J279" i="50" s="1"/>
  <c r="G280" i="50"/>
  <c r="G46" i="68"/>
  <c r="G188" i="50"/>
  <c r="I188" i="50" s="1"/>
  <c r="J188" i="50" s="1"/>
  <c r="G26" i="68"/>
  <c r="G111" i="50"/>
  <c r="G112" i="50"/>
  <c r="K43" i="72"/>
  <c r="G288" i="50"/>
  <c r="I288" i="50" s="1"/>
  <c r="J288" i="50" s="1"/>
  <c r="G11" i="68"/>
  <c r="G12" i="50"/>
  <c r="I12" i="50" s="1"/>
  <c r="J12" i="50" s="1"/>
  <c r="G42" i="68"/>
  <c r="G164" i="50"/>
  <c r="G167" i="50"/>
  <c r="G165" i="50"/>
  <c r="G166" i="50"/>
  <c r="K21" i="68"/>
  <c r="G233" i="50"/>
  <c r="G231" i="50"/>
  <c r="I231" i="50" s="1"/>
  <c r="J231" i="50" s="1"/>
  <c r="G234" i="50"/>
  <c r="G232" i="50"/>
  <c r="G235" i="50"/>
  <c r="G51" i="68"/>
  <c r="G200" i="50"/>
  <c r="I200" i="50" s="1"/>
  <c r="J200" i="50" s="1"/>
  <c r="G44" i="68"/>
  <c r="G179" i="50"/>
  <c r="I179" i="50" s="1"/>
  <c r="J179" i="50" s="1"/>
  <c r="E20" i="74"/>
  <c r="G340" i="50"/>
  <c r="N9" i="18"/>
  <c r="O20" i="18" s="1"/>
  <c r="K11" i="50"/>
  <c r="K9" i="50"/>
  <c r="K10" i="50"/>
  <c r="M10" i="50" s="1"/>
  <c r="N10" i="50" s="1"/>
  <c r="N987" i="18"/>
  <c r="O1292" i="18" s="1"/>
  <c r="K75" i="50"/>
  <c r="K83" i="50"/>
  <c r="K91" i="50"/>
  <c r="K99" i="50"/>
  <c r="K70" i="50"/>
  <c r="K78" i="50"/>
  <c r="K86" i="50"/>
  <c r="K94" i="50"/>
  <c r="K73" i="50"/>
  <c r="K81" i="50"/>
  <c r="K89" i="50"/>
  <c r="K97" i="50"/>
  <c r="K68" i="50"/>
  <c r="M68" i="50" s="1"/>
  <c r="N68" i="50" s="1"/>
  <c r="K76" i="50"/>
  <c r="K84" i="50"/>
  <c r="K92" i="50"/>
  <c r="K100" i="50"/>
  <c r="K71" i="50"/>
  <c r="K79" i="50"/>
  <c r="K87" i="50"/>
  <c r="K95" i="50"/>
  <c r="K96" i="50"/>
  <c r="K69" i="50"/>
  <c r="M69" i="50" s="1"/>
  <c r="N69" i="50" s="1"/>
  <c r="K74" i="50"/>
  <c r="K88" i="50"/>
  <c r="K93" i="50"/>
  <c r="K98" i="50"/>
  <c r="K80" i="50"/>
  <c r="K85" i="50"/>
  <c r="K90" i="50"/>
  <c r="K72" i="50"/>
  <c r="K77" i="50"/>
  <c r="K82" i="50"/>
  <c r="F35" i="69"/>
  <c r="K319" i="50"/>
  <c r="M319" i="50" s="1"/>
  <c r="N319" i="50" s="1"/>
  <c r="H27" i="68"/>
  <c r="K113" i="50"/>
  <c r="M113" i="50" s="1"/>
  <c r="N113" i="50" s="1"/>
  <c r="K114" i="50"/>
  <c r="H30" i="72"/>
  <c r="K156" i="50"/>
  <c r="M156" i="50" s="1"/>
  <c r="N156" i="50" s="1"/>
  <c r="K157" i="50"/>
  <c r="H12" i="68"/>
  <c r="K13" i="50"/>
  <c r="M13" i="50" s="1"/>
  <c r="N13" i="50" s="1"/>
  <c r="L24" i="68"/>
  <c r="K239" i="50"/>
  <c r="M239" i="50" s="1"/>
  <c r="N239" i="50" s="1"/>
  <c r="K240" i="50"/>
  <c r="D71" i="51"/>
  <c r="I71" i="51" s="1"/>
  <c r="J71" i="51" s="1"/>
  <c r="K255" i="50"/>
  <c r="M255" i="50" s="1"/>
  <c r="N255" i="50" s="1"/>
  <c r="K256" i="50"/>
  <c r="H22" i="68"/>
  <c r="K65" i="50"/>
  <c r="K64" i="50"/>
  <c r="M64" i="50" s="1"/>
  <c r="N64" i="50" s="1"/>
  <c r="D93" i="47"/>
  <c r="K291" i="50"/>
  <c r="M291" i="50" s="1"/>
  <c r="N291" i="50" s="1"/>
  <c r="H48" i="68"/>
  <c r="K195" i="50"/>
  <c r="M195" i="50" s="1"/>
  <c r="N195" i="50" s="1"/>
  <c r="E118" i="8"/>
  <c r="E119" i="8" s="1"/>
  <c r="E120" i="8" s="1"/>
  <c r="E67" i="8"/>
  <c r="D78" i="51"/>
  <c r="I78" i="51" s="1"/>
  <c r="J78" i="51" s="1"/>
  <c r="D3029" i="18"/>
  <c r="D2596" i="18"/>
  <c r="N4061" i="18"/>
  <c r="Q4061" i="18"/>
  <c r="N4351" i="18"/>
  <c r="O4351" i="18" s="1"/>
  <c r="Q4351" i="18"/>
  <c r="N2797" i="18"/>
  <c r="L2643" i="18"/>
  <c r="L2645" i="18" s="1"/>
  <c r="N3997" i="18"/>
  <c r="N5346" i="18"/>
  <c r="O5346" i="18" s="1"/>
  <c r="Q3997" i="18"/>
  <c r="N5347" i="18"/>
  <c r="O5347" i="18" s="1"/>
  <c r="N4051" i="18"/>
  <c r="Q4051" i="18"/>
  <c r="N3531" i="18"/>
  <c r="Q3531" i="18"/>
  <c r="I3552" i="18"/>
  <c r="I3554" i="18" s="1"/>
  <c r="I3555" i="18" s="1"/>
  <c r="K3556" i="18" s="1"/>
  <c r="L3556" i="18" s="1"/>
  <c r="K2847" i="18"/>
  <c r="Q2847" i="18"/>
  <c r="N3968" i="18"/>
  <c r="Q3968" i="18"/>
  <c r="N3443" i="18"/>
  <c r="N5343" i="18"/>
  <c r="O5343" i="18" s="1"/>
  <c r="I3465" i="18"/>
  <c r="I3467" i="18" s="1"/>
  <c r="I3468" i="18" s="1"/>
  <c r="K3469" i="18" s="1"/>
  <c r="L3469" i="18" s="1"/>
  <c r="Q3443" i="18"/>
  <c r="N4147" i="18"/>
  <c r="Q4147" i="18"/>
  <c r="D3031" i="18"/>
  <c r="D3027" i="18"/>
  <c r="D3019" i="18"/>
  <c r="D3015" i="18"/>
  <c r="D3011" i="18"/>
  <c r="D3038" i="18"/>
  <c r="D3034" i="18"/>
  <c r="D3030" i="18"/>
  <c r="D3022" i="18"/>
  <c r="D3018" i="18"/>
  <c r="D3010" i="18"/>
  <c r="D3037" i="18"/>
  <c r="D3033" i="18"/>
  <c r="D3025" i="18"/>
  <c r="D3021" i="18"/>
  <c r="D3013" i="18"/>
  <c r="D3009" i="18"/>
  <c r="D3036" i="18"/>
  <c r="D3028" i="18"/>
  <c r="D3024" i="18"/>
  <c r="D3016" i="18"/>
  <c r="D3012" i="18"/>
  <c r="D3020" i="18"/>
  <c r="H4281" i="18"/>
  <c r="H4282" i="18" s="1"/>
  <c r="H4283" i="18" s="1"/>
  <c r="K4284" i="18" s="1"/>
  <c r="L4284" i="18" s="1"/>
  <c r="Q4269" i="18"/>
  <c r="N3727" i="18"/>
  <c r="O3727" i="18" s="1"/>
  <c r="Q3727" i="18"/>
  <c r="N10" i="18"/>
  <c r="O5374" i="18"/>
  <c r="P5374" i="18" s="1"/>
  <c r="Q10" i="18"/>
  <c r="N967" i="18"/>
  <c r="L938" i="18"/>
  <c r="Q967" i="18"/>
  <c r="N3829" i="18"/>
  <c r="I3850" i="18"/>
  <c r="L3765" i="18"/>
  <c r="I3851" i="18"/>
  <c r="Q3829" i="18"/>
  <c r="N5345" i="18"/>
  <c r="O5345" i="18" s="1"/>
  <c r="Q90" i="18"/>
  <c r="N90" i="18"/>
  <c r="N3432" i="18"/>
  <c r="N5342" i="18"/>
  <c r="O5342" i="18" s="1"/>
  <c r="Q3432" i="18"/>
  <c r="H3652" i="18"/>
  <c r="H3653" i="18" s="1"/>
  <c r="H3654" i="18" s="1"/>
  <c r="K3655" i="18" s="1"/>
  <c r="L3655" i="18" s="1"/>
  <c r="N3628" i="18"/>
  <c r="Q3628" i="18"/>
  <c r="N3306" i="18"/>
  <c r="O5381" i="18"/>
  <c r="P5381" i="18" s="1"/>
  <c r="Q3306" i="18"/>
  <c r="N1812" i="18"/>
  <c r="Q1812" i="18"/>
  <c r="O5379" i="18"/>
  <c r="P5379" i="18" s="1"/>
  <c r="N4287" i="18"/>
  <c r="Q4287" i="18"/>
  <c r="N3916" i="18"/>
  <c r="Q3916" i="18"/>
  <c r="N4118" i="18"/>
  <c r="O4118" i="18" s="1"/>
  <c r="N5348" i="18"/>
  <c r="O5348" i="18" s="1"/>
  <c r="Q4118" i="18"/>
  <c r="N3770" i="18"/>
  <c r="N5344" i="18"/>
  <c r="O5344" i="18" s="1"/>
  <c r="Q3770" i="18"/>
  <c r="L3763" i="18"/>
  <c r="D1932" i="18"/>
  <c r="D1936" i="18"/>
  <c r="D1940" i="18"/>
  <c r="D1944" i="18"/>
  <c r="D1937" i="18"/>
  <c r="D1941" i="18"/>
  <c r="D1934" i="18"/>
  <c r="D1938" i="18"/>
  <c r="D1942" i="18"/>
  <c r="D1935" i="18"/>
  <c r="D1939" i="18"/>
  <c r="D2152" i="18"/>
  <c r="D2148" i="18"/>
  <c r="D2144" i="18"/>
  <c r="D2151" i="18"/>
  <c r="D2147" i="18"/>
  <c r="D2154" i="18"/>
  <c r="D2150" i="18"/>
  <c r="D2146" i="18"/>
  <c r="D2142" i="18"/>
  <c r="D2149" i="18"/>
  <c r="D2145" i="18"/>
  <c r="D1498" i="18"/>
  <c r="D1502" i="18"/>
  <c r="D1503" i="18"/>
  <c r="D1496" i="18"/>
  <c r="D1500" i="18"/>
  <c r="D1499" i="18"/>
  <c r="D1508" i="18"/>
  <c r="D1501" i="18"/>
  <c r="D1505" i="18"/>
  <c r="D1506" i="18"/>
  <c r="D1504" i="18"/>
  <c r="D2585" i="18"/>
  <c r="D2007" i="18"/>
  <c r="D2011" i="18"/>
  <c r="D2004" i="18"/>
  <c r="D2008" i="18"/>
  <c r="D2005" i="18"/>
  <c r="D2009" i="18"/>
  <c r="D2006" i="18"/>
  <c r="N4247" i="18"/>
  <c r="O4247" i="18" s="1"/>
  <c r="Q4247" i="18"/>
  <c r="L937" i="18"/>
  <c r="Q944" i="18"/>
  <c r="N3927" i="18"/>
  <c r="Q3927" i="18"/>
  <c r="N3421" i="18"/>
  <c r="O3421" i="18" s="1"/>
  <c r="Q3421" i="18"/>
  <c r="H2458" i="18"/>
  <c r="H2459" i="18" s="1"/>
  <c r="H2460" i="18" s="1"/>
  <c r="K2461" i="18" s="1"/>
  <c r="L2461" i="18" s="1"/>
  <c r="K2431" i="18"/>
  <c r="D1933" i="18"/>
  <c r="N3979" i="18"/>
  <c r="L3991" i="18"/>
  <c r="L3992" i="18" s="1"/>
  <c r="L3993" i="18" s="1"/>
  <c r="K3994" i="18" s="1"/>
  <c r="L3994" i="18" s="1"/>
  <c r="Q3979" i="18"/>
  <c r="D3039" i="18"/>
  <c r="D2604" i="18"/>
  <c r="D2608" i="18"/>
  <c r="D2612" i="18"/>
  <c r="D2616" i="18"/>
  <c r="D2605" i="18"/>
  <c r="D2609" i="18"/>
  <c r="D2613" i="18"/>
  <c r="D2602" i="18"/>
  <c r="D2606" i="18"/>
  <c r="D2614" i="18"/>
  <c r="D2603" i="18"/>
  <c r="D2607" i="18"/>
  <c r="D2611"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64" i="18"/>
  <c r="D2576" i="18"/>
  <c r="D2580" i="18"/>
  <c r="D2584" i="18"/>
  <c r="L1320" i="18"/>
  <c r="L1322" i="18" s="1"/>
  <c r="L1323" i="18" s="1"/>
  <c r="K1324" i="18" s="1"/>
  <c r="L1324" i="18" s="1"/>
  <c r="N988" i="18"/>
  <c r="O5377" i="18"/>
  <c r="P5377" i="18" s="1"/>
  <c r="I1008" i="18"/>
  <c r="N3801" i="18"/>
  <c r="L3764" i="18"/>
  <c r="Q3801" i="18"/>
  <c r="N109" i="18"/>
  <c r="Q109" i="18"/>
  <c r="N3618" i="18"/>
  <c r="Q3618" i="18"/>
  <c r="I3300" i="18"/>
  <c r="I3301" i="18" s="1"/>
  <c r="I3302" i="18" s="1"/>
  <c r="K3303" i="18" s="1"/>
  <c r="L3303" i="18" s="1"/>
  <c r="N3286" i="18"/>
  <c r="Q3286" i="18"/>
  <c r="N2877" i="18"/>
  <c r="I2892" i="18"/>
  <c r="I2893" i="18" s="1"/>
  <c r="I2894" i="18" s="1"/>
  <c r="K2895" i="18" s="1"/>
  <c r="L2895" i="18" s="1"/>
  <c r="L4887" i="18"/>
  <c r="M4887" i="18" s="1"/>
  <c r="M4895" i="18" s="1"/>
  <c r="N3319" i="18"/>
  <c r="O3319" i="18" s="1"/>
  <c r="N5341" i="18"/>
  <c r="O5341" i="18" s="1"/>
  <c r="Q3319" i="18"/>
  <c r="N4261" i="18"/>
  <c r="Q4261" i="18"/>
  <c r="N3409" i="18"/>
  <c r="O3409" i="18" s="1"/>
  <c r="Q3409" i="18"/>
  <c r="N1790" i="18"/>
  <c r="O5380" i="18"/>
  <c r="P5380" i="18" s="1"/>
  <c r="Q1790" i="18"/>
  <c r="I1007" i="18"/>
  <c r="Q1013" i="18"/>
  <c r="L1403" i="18"/>
  <c r="L1405" i="18" s="1"/>
  <c r="L1406" i="18" s="1"/>
  <c r="K1407" i="18" s="1"/>
  <c r="L1407" i="18" s="1"/>
  <c r="L939" i="18"/>
  <c r="N1013" i="18"/>
  <c r="O1013" i="18" s="1"/>
  <c r="N4168" i="18"/>
  <c r="Q4168" i="18"/>
  <c r="D2366" i="18"/>
  <c r="D2362" i="18"/>
  <c r="D2358" i="18"/>
  <c r="D2354" i="18"/>
  <c r="D2361" i="18"/>
  <c r="D2357" i="18"/>
  <c r="D2364" i="18"/>
  <c r="D2360" i="18"/>
  <c r="D2356" i="18"/>
  <c r="D2363" i="18"/>
  <c r="D2359" i="18"/>
  <c r="R29" i="71"/>
  <c r="D58" i="51"/>
  <c r="I58" i="51" s="1"/>
  <c r="J58" i="51" s="1"/>
  <c r="K3769" i="18"/>
  <c r="L3770" i="18" s="1"/>
  <c r="Q17" i="75"/>
  <c r="Q16" i="75" s="1"/>
  <c r="H20" i="72"/>
  <c r="D78" i="47"/>
  <c r="I78" i="47" s="1"/>
  <c r="J78" i="47" s="1"/>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D34" i="48" s="1"/>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O3801" i="18" s="1"/>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L19" i="72"/>
  <c r="AA29" i="75"/>
  <c r="Z16" i="75"/>
  <c r="D73" i="48"/>
  <c r="D74" i="48" s="1"/>
  <c r="D22" i="48" s="1"/>
  <c r="D42" i="51"/>
  <c r="I42" i="51" s="1"/>
  <c r="J42" i="51" s="1"/>
  <c r="D42" i="47"/>
  <c r="I42" i="47" s="1"/>
  <c r="J42" i="47" s="1"/>
  <c r="N3442" i="18"/>
  <c r="O4136" i="18" s="1"/>
  <c r="S34" i="71"/>
  <c r="W17" i="71"/>
  <c r="L49" i="68"/>
  <c r="R52" i="71" s="1"/>
  <c r="Y28" i="71"/>
  <c r="F51" i="73"/>
  <c r="V28" i="71"/>
  <c r="AB18" i="75"/>
  <c r="L275" i="5"/>
  <c r="L298" i="5" s="1"/>
  <c r="W16" i="75"/>
  <c r="S32" i="75"/>
  <c r="L21" i="72"/>
  <c r="F23" i="69"/>
  <c r="O2797" i="18"/>
  <c r="K465" i="5"/>
  <c r="K490" i="5" s="1"/>
  <c r="D80" i="47"/>
  <c r="F36" i="69"/>
  <c r="N3769" i="18"/>
  <c r="O3770" i="18" s="1"/>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AC31" i="75" s="1"/>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I77" i="47" s="1"/>
  <c r="J77" i="47" s="1"/>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O3839" i="18"/>
  <c r="D23" i="51"/>
  <c r="I23" i="51" s="1"/>
  <c r="J23" i="51" s="1"/>
  <c r="D43" i="51"/>
  <c r="I43" i="51" s="1"/>
  <c r="J43" i="51" s="1"/>
  <c r="S35" i="71"/>
  <c r="H18" i="72"/>
  <c r="AA9" i="75"/>
  <c r="L465" i="5"/>
  <c r="L490" i="5" s="1"/>
  <c r="M367" i="5"/>
  <c r="R13" i="75"/>
  <c r="L171" i="5"/>
  <c r="L170" i="5" s="1"/>
  <c r="L117" i="5" s="1"/>
  <c r="M512" i="5"/>
  <c r="M356" i="5"/>
  <c r="D23" i="47"/>
  <c r="I23" i="47" s="1"/>
  <c r="J23" i="47" s="1"/>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I107" i="47" s="1"/>
  <c r="J107" i="47" s="1"/>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O1307" i="18"/>
  <c r="D45" i="47"/>
  <c r="I45" i="47" s="1"/>
  <c r="J45" i="47" s="1"/>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O1491" i="18"/>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O1057" i="18"/>
  <c r="N858" i="18"/>
  <c r="O871" i="18" s="1"/>
  <c r="O1520" i="18"/>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O988" i="18"/>
  <c r="D27" i="47"/>
  <c r="D30" i="51"/>
  <c r="I30" i="51" s="1"/>
  <c r="J30" i="51" s="1"/>
  <c r="N1822" i="18"/>
  <c r="O1908" i="18" s="1"/>
  <c r="D112" i="47"/>
  <c r="R9" i="71"/>
  <c r="T10" i="71"/>
  <c r="AB12" i="71"/>
  <c r="AB13" i="71" s="1"/>
  <c r="F22" i="73"/>
  <c r="L567" i="5"/>
  <c r="L564" i="5" s="1"/>
  <c r="L589" i="5" s="1"/>
  <c r="O1387" i="18"/>
  <c r="Q11" i="71"/>
  <c r="U29" i="71"/>
  <c r="H22" i="72"/>
  <c r="O1277" i="18"/>
  <c r="Q25" i="71"/>
  <c r="Q21" i="71" s="1"/>
  <c r="U22" i="75"/>
  <c r="U10" i="75"/>
  <c r="Q24" i="75"/>
  <c r="M204" i="5"/>
  <c r="M305" i="5"/>
  <c r="M219" i="5"/>
  <c r="S9" i="71"/>
  <c r="E51" i="70"/>
  <c r="E22" i="74"/>
  <c r="E24" i="74" s="1"/>
  <c r="E12" i="74"/>
  <c r="E16" i="74" s="1"/>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29" i="74" s="1"/>
  <c r="E36" i="74"/>
  <c r="E39" i="74" s="1"/>
  <c r="I696" i="5"/>
  <c r="I703" i="5"/>
  <c r="K5974" i="18"/>
  <c r="L5975" i="18" s="1"/>
  <c r="K5922" i="18"/>
  <c r="L5923" i="18" s="1"/>
  <c r="K5035" i="18"/>
  <c r="L5036" i="18" s="1"/>
  <c r="E41" i="70"/>
  <c r="E35" i="70"/>
  <c r="E39" i="70"/>
  <c r="K5051" i="18"/>
  <c r="L5052" i="18" s="1"/>
  <c r="F44" i="48"/>
  <c r="I682" i="5"/>
  <c r="H697" i="5"/>
  <c r="K5933" i="18"/>
  <c r="L5934" i="18" s="1"/>
  <c r="K5867" i="18"/>
  <c r="L5868" i="18" s="1"/>
  <c r="E8" i="70"/>
  <c r="E21" i="70" s="1"/>
  <c r="E37" i="70"/>
  <c r="E32" i="71"/>
  <c r="E49" i="70"/>
  <c r="K2031" i="18"/>
  <c r="L2032" i="18" s="1"/>
  <c r="K4875" i="18"/>
  <c r="L4876" i="18" s="1"/>
  <c r="F35" i="75"/>
  <c r="G18" i="72"/>
  <c r="F105" i="47"/>
  <c r="I105" i="47" s="1"/>
  <c r="J105" i="47" s="1"/>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6" i="18"/>
  <c r="L4957" i="18"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L3866" i="18"/>
  <c r="F32" i="47"/>
  <c r="I32" i="47" s="1"/>
  <c r="J32" i="47" s="1"/>
  <c r="K9" i="71"/>
  <c r="J32" i="71"/>
  <c r="E11" i="73"/>
  <c r="J5040" i="18" s="1"/>
  <c r="K5040" i="18" s="1"/>
  <c r="I651" i="5"/>
  <c r="F108" i="48"/>
  <c r="L3839" i="18"/>
  <c r="L3856" i="1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8" i="18"/>
  <c r="O4835" i="18"/>
  <c r="F13" i="47"/>
  <c r="F82" i="47"/>
  <c r="K4486" i="18"/>
  <c r="L4498" i="18" s="1"/>
  <c r="E24" i="71"/>
  <c r="M12" i="71"/>
  <c r="O306" i="18"/>
  <c r="O130" i="18"/>
  <c r="O3006" i="18"/>
  <c r="L3927" i="18"/>
  <c r="L3947" i="18"/>
  <c r="L3937" i="18"/>
  <c r="L3957" i="18"/>
  <c r="L1449" i="18"/>
  <c r="L1428" i="18"/>
  <c r="L1365" i="18"/>
  <c r="L1459" i="18"/>
  <c r="L2748" i="18"/>
  <c r="O2599" i="18"/>
  <c r="L120" i="18"/>
  <c r="L130" i="18"/>
  <c r="F24" i="75"/>
  <c r="F21" i="75" s="1"/>
  <c r="O30" i="71"/>
  <c r="E35" i="73"/>
  <c r="L24" i="71"/>
  <c r="F111" i="47"/>
  <c r="I111" i="47" s="1"/>
  <c r="J111" i="47" s="1"/>
  <c r="O2202" i="18"/>
  <c r="N32" i="71"/>
  <c r="K3431" i="18"/>
  <c r="L3432" i="18" s="1"/>
  <c r="G27" i="75"/>
  <c r="F22" i="47"/>
  <c r="K4412" i="18"/>
  <c r="L4413" i="18" s="1"/>
  <c r="G10" i="72"/>
  <c r="L1277" i="18"/>
  <c r="L1292" i="18"/>
  <c r="K4834" i="18"/>
  <c r="D27" i="75"/>
  <c r="H23" i="75"/>
  <c r="H21" i="75" s="1"/>
  <c r="I534" i="5"/>
  <c r="M15" i="75" s="1"/>
  <c r="L1557" i="18"/>
  <c r="L1027" i="18"/>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K3617" i="18"/>
  <c r="L3618" i="18" s="1"/>
  <c r="J22" i="71"/>
  <c r="K13" i="72"/>
  <c r="I633" i="5"/>
  <c r="I818" i="5" s="1"/>
  <c r="E8" i="69"/>
  <c r="E7" i="69" s="1"/>
  <c r="E28" i="75"/>
  <c r="K8" i="72"/>
  <c r="E46" i="73"/>
  <c r="F33" i="70"/>
  <c r="F111" i="70" s="1"/>
  <c r="K36" i="68"/>
  <c r="G17" i="72"/>
  <c r="F93" i="47"/>
  <c r="I93" i="47" s="1"/>
  <c r="J93" i="47" s="1"/>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K44" i="68" s="1"/>
  <c r="I371" i="5"/>
  <c r="H15" i="75" s="1"/>
  <c r="L2648" i="18"/>
  <c r="K3380" i="18"/>
  <c r="L3381" i="18" s="1"/>
  <c r="F41" i="47"/>
  <c r="I41" i="47" s="1"/>
  <c r="J41" i="47" s="1"/>
  <c r="K2156" i="18"/>
  <c r="L2191" i="18" s="1"/>
  <c r="L2705" i="18"/>
  <c r="I44" i="47"/>
  <c r="J44" i="47"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103" i="47" s="1"/>
  <c r="J103" i="47" s="1"/>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K3726" i="18"/>
  <c r="L3727" i="18" s="1"/>
  <c r="N28" i="75"/>
  <c r="G8" i="68"/>
  <c r="G22" i="72"/>
  <c r="J11" i="71"/>
  <c r="K54" i="68"/>
  <c r="K52" i="71" s="1"/>
  <c r="G30" i="71"/>
  <c r="E22" i="73"/>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I58" i="47" s="1"/>
  <c r="J58" i="47" s="1"/>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G64" i="5"/>
  <c r="K49" i="68"/>
  <c r="E52" i="71" s="1"/>
  <c r="F10" i="48"/>
  <c r="F45" i="48" s="1"/>
  <c r="I92" i="5"/>
  <c r="F84" i="48" s="1"/>
  <c r="G597" i="5"/>
  <c r="G622" i="5" s="1"/>
  <c r="H565" i="5"/>
  <c r="H210" i="5" s="1"/>
  <c r="H169" i="5"/>
  <c r="H630" i="5"/>
  <c r="H655" i="5" s="1"/>
  <c r="H218" i="5"/>
  <c r="G218" i="5"/>
  <c r="H368" i="5"/>
  <c r="H393" i="5" s="1"/>
  <c r="H597" i="5"/>
  <c r="H622" i="5" s="1"/>
  <c r="K697" i="18"/>
  <c r="I367" i="5"/>
  <c r="G223" i="5"/>
  <c r="G242" i="5"/>
  <c r="G267" i="5" s="1"/>
  <c r="I35" i="5"/>
  <c r="F80" i="48" s="1"/>
  <c r="N22" i="71"/>
  <c r="N21" i="71" s="1"/>
  <c r="G31" i="75"/>
  <c r="H32" i="71"/>
  <c r="I349" i="5"/>
  <c r="I568" i="5"/>
  <c r="L11" i="71"/>
  <c r="L19" i="71"/>
  <c r="I601" i="5"/>
  <c r="N20" i="71"/>
  <c r="O19" i="71"/>
  <c r="H31" i="75"/>
  <c r="I377" i="5"/>
  <c r="I229" i="5"/>
  <c r="I344" i="5"/>
  <c r="I226" i="5"/>
  <c r="I228" i="5"/>
  <c r="L1057" i="18"/>
  <c r="L1587" i="18"/>
  <c r="I274" i="5"/>
  <c r="E11" i="71"/>
  <c r="I629" i="5"/>
  <c r="I294" i="5"/>
  <c r="L1520" i="18"/>
  <c r="L1491" i="18"/>
  <c r="E35" i="71"/>
  <c r="J29" i="71"/>
  <c r="I25" i="71"/>
  <c r="I211" i="5"/>
  <c r="L1538" i="18"/>
  <c r="I410" i="5"/>
  <c r="I221" i="5"/>
  <c r="I535" i="5"/>
  <c r="L988" i="18"/>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E35" i="74"/>
  <c r="L306" i="18"/>
  <c r="V13" i="71"/>
  <c r="U21" i="71"/>
  <c r="E56" i="70"/>
  <c r="E13" i="75"/>
  <c r="R43" i="75" s="1"/>
  <c r="AC11" i="75"/>
  <c r="J16" i="71"/>
  <c r="E32" i="75"/>
  <c r="H5134" i="18"/>
  <c r="Q5127" i="18" s="1"/>
  <c r="L170" i="18"/>
  <c r="L21" i="75"/>
  <c r="K31" i="68"/>
  <c r="I21" i="75"/>
  <c r="G16" i="75"/>
  <c r="Y13" i="75"/>
  <c r="H32" i="75"/>
  <c r="X15" i="71"/>
  <c r="X15" i="75"/>
  <c r="E102" i="74"/>
  <c r="E103" i="74" s="1"/>
  <c r="E104" i="74" s="1"/>
  <c r="E83" i="74"/>
  <c r="Q15" i="71"/>
  <c r="Q15" i="75"/>
  <c r="Q32" i="75"/>
  <c r="E21" i="75"/>
  <c r="V32" i="75"/>
  <c r="J21" i="75"/>
  <c r="O32" i="75"/>
  <c r="L32" i="75"/>
  <c r="J13" i="75"/>
  <c r="W43" i="75" s="1"/>
  <c r="AB33" i="71"/>
  <c r="F55" i="52"/>
  <c r="AC23" i="71"/>
  <c r="O10" i="18"/>
  <c r="O59" i="18"/>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I109" i="47"/>
  <c r="J109" i="47" s="1"/>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N9" i="2"/>
  <c r="F106" i="21"/>
  <c r="F107" i="21" s="1"/>
  <c r="F108" i="21" s="1"/>
  <c r="J565" i="5"/>
  <c r="J210" i="5" s="1"/>
  <c r="AE16" i="2"/>
  <c r="F567" i="5"/>
  <c r="F806" i="5" s="1"/>
  <c r="E106" i="21"/>
  <c r="E107" i="21" s="1"/>
  <c r="E108" i="21" s="1"/>
  <c r="N15" i="2"/>
  <c r="Q18" i="2"/>
  <c r="L4051" i="18"/>
  <c r="L4096" i="18"/>
  <c r="P5367" i="18"/>
  <c r="F111" i="8"/>
  <c r="F129" i="8"/>
  <c r="J754" i="5"/>
  <c r="M737" i="5"/>
  <c r="M822" i="5" s="1"/>
  <c r="J823" i="5"/>
  <c r="J824" i="5" s="1"/>
  <c r="G54" i="51"/>
  <c r="G28" i="51"/>
  <c r="G60" i="46"/>
  <c r="L64" i="46"/>
  <c r="G57" i="46"/>
  <c r="L69" i="46"/>
  <c r="G56" i="46"/>
  <c r="L243" i="50"/>
  <c r="L72" i="46"/>
  <c r="L13" i="46"/>
  <c r="G55" i="46"/>
  <c r="L68" i="46"/>
  <c r="L14" i="46"/>
  <c r="L70" i="46"/>
  <c r="L82" i="46"/>
  <c r="L66" i="46"/>
  <c r="L9" i="50"/>
  <c r="L63" i="46"/>
  <c r="G45" i="46"/>
  <c r="L62" i="46"/>
  <c r="L73" i="46"/>
  <c r="L23" i="46"/>
  <c r="L115" i="50"/>
  <c r="G39" i="46"/>
  <c r="L71" i="46"/>
  <c r="G54" i="46"/>
  <c r="O3829" i="18" l="1"/>
  <c r="M243" i="50"/>
  <c r="N243" i="50" s="1"/>
  <c r="M115" i="50"/>
  <c r="N115" i="50" s="1"/>
  <c r="M9" i="50"/>
  <c r="N9" i="50" s="1"/>
  <c r="M14" i="46"/>
  <c r="N14" i="46" s="1"/>
  <c r="M13" i="46"/>
  <c r="N13" i="46" s="1"/>
  <c r="M39" i="46"/>
  <c r="N39" i="46" s="1"/>
  <c r="M45" i="46"/>
  <c r="N45" i="46" s="1"/>
  <c r="F122" i="21"/>
  <c r="F123" i="21" s="1"/>
  <c r="F124" i="21" s="1"/>
  <c r="X43" i="75"/>
  <c r="Q51" i="75"/>
  <c r="Z51" i="75"/>
  <c r="K51" i="75"/>
  <c r="L51" i="75"/>
  <c r="I51" i="75"/>
  <c r="X51" i="75"/>
  <c r="F94" i="74"/>
  <c r="U43" i="75"/>
  <c r="M51" i="75"/>
  <c r="Y51" i="75"/>
  <c r="D51" i="75"/>
  <c r="H51" i="75"/>
  <c r="E113" i="8"/>
  <c r="E115" i="8" s="1"/>
  <c r="E116" i="8" s="1"/>
  <c r="Y43" i="75"/>
  <c r="E129" i="8"/>
  <c r="F37" i="48"/>
  <c r="D10" i="52"/>
  <c r="N14" i="2"/>
  <c r="F558" i="5"/>
  <c r="Q9" i="2"/>
  <c r="F24" i="52"/>
  <c r="AA33" i="71"/>
  <c r="P5383" i="18"/>
  <c r="L941" i="18"/>
  <c r="L3767" i="18"/>
  <c r="I3852" i="18"/>
  <c r="I3853" i="18" s="1"/>
  <c r="K3854" i="18" s="1"/>
  <c r="L3854" i="18" s="1"/>
  <c r="I1009" i="18"/>
  <c r="I1010" i="18" s="1"/>
  <c r="K1011" i="18" s="1"/>
  <c r="L1011" i="18" s="1"/>
  <c r="M7" i="18"/>
  <c r="O5351" i="18"/>
  <c r="D11" i="52"/>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4" i="18"/>
  <c r="D62" i="52"/>
  <c r="Y16" i="75"/>
  <c r="P31" i="71"/>
  <c r="AC31" i="71"/>
  <c r="AC30" i="75"/>
  <c r="I14" i="47"/>
  <c r="J14" i="47" s="1"/>
  <c r="I88" i="47"/>
  <c r="J88" i="47" s="1"/>
  <c r="U13" i="75"/>
  <c r="F53" i="69"/>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E33" i="70" s="1"/>
  <c r="I683" i="5"/>
  <c r="F43" i="48" s="1"/>
  <c r="H711" i="5"/>
  <c r="H713" i="5" s="1"/>
  <c r="E11" i="74"/>
  <c r="E17" i="74" s="1"/>
  <c r="G711" i="5"/>
  <c r="G713" i="5" s="1"/>
  <c r="I33" i="71"/>
  <c r="E52" i="70"/>
  <c r="E57" i="70" s="1"/>
  <c r="I709" i="5"/>
  <c r="I697" i="5"/>
  <c r="I15" i="75"/>
  <c r="E40" i="70"/>
  <c r="E16" i="75"/>
  <c r="K21" i="71"/>
  <c r="M32" i="75"/>
  <c r="E26" i="71"/>
  <c r="O13" i="71"/>
  <c r="AB44" i="71" s="1"/>
  <c r="L25" i="75"/>
  <c r="L14" i="75" s="1"/>
  <c r="L36" i="75" s="1"/>
  <c r="L21" i="71"/>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24" i="75"/>
  <c r="H15" i="71"/>
  <c r="G13" i="75"/>
  <c r="T43" i="75" s="1"/>
  <c r="J21" i="71"/>
  <c r="L2202" i="18"/>
  <c r="L2218" i="18"/>
  <c r="M15" i="71"/>
  <c r="M13" i="75"/>
  <c r="Z43" i="75" s="1"/>
  <c r="L2157" i="18"/>
  <c r="L859" i="18"/>
  <c r="L3443" i="18"/>
  <c r="L890" i="18"/>
  <c r="F59" i="70"/>
  <c r="F123" i="70" s="1"/>
  <c r="F124" i="70" s="1"/>
  <c r="F125" i="70" s="1"/>
  <c r="L3394" i="18"/>
  <c r="F754" i="5"/>
  <c r="F826" i="5" s="1"/>
  <c r="F827" i="5" s="1"/>
  <c r="F828" i="5" s="1"/>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F17" i="48"/>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E40" i="73"/>
  <c r="P34" i="71"/>
  <c r="F72" i="47"/>
  <c r="E25" i="73"/>
  <c r="E28" i="73" s="1"/>
  <c r="P30" i="71"/>
  <c r="P27" i="71"/>
  <c r="I64" i="5"/>
  <c r="I786" i="5" s="1"/>
  <c r="K23" i="72"/>
  <c r="M25" i="75"/>
  <c r="M16" i="75"/>
  <c r="P36" i="71"/>
  <c r="G52" i="71"/>
  <c r="G25" i="75"/>
  <c r="G14" i="75" s="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I567" i="5"/>
  <c r="H564" i="5"/>
  <c r="H209" i="5" s="1"/>
  <c r="P26" i="75"/>
  <c r="E40" i="74"/>
  <c r="P11" i="71"/>
  <c r="L16" i="71"/>
  <c r="F12" i="52"/>
  <c r="E30" i="74"/>
  <c r="K45" i="68"/>
  <c r="AB43" i="75"/>
  <c r="V43" i="75"/>
  <c r="S43" i="75"/>
  <c r="G72" i="51"/>
  <c r="G84" i="51"/>
  <c r="F118" i="21"/>
  <c r="F119" i="21" s="1"/>
  <c r="F129" i="21" s="1"/>
  <c r="J212" i="5"/>
  <c r="D47" i="52"/>
  <c r="D15" i="52" s="1"/>
  <c r="M565" i="5"/>
  <c r="M210" i="5" s="1"/>
  <c r="D42" i="48"/>
  <c r="AE15" i="2"/>
  <c r="AE40" i="2" s="1"/>
  <c r="F434" i="5"/>
  <c r="F457" i="5" s="1"/>
  <c r="F811" i="5"/>
  <c r="F812" i="5" s="1"/>
  <c r="F210" i="5"/>
  <c r="I565" i="5"/>
  <c r="I210" i="5" s="1"/>
  <c r="Q15" i="2"/>
  <c r="E122" i="21"/>
  <c r="E123" i="21" s="1"/>
  <c r="E124" i="21" s="1"/>
  <c r="E118" i="21"/>
  <c r="E119" i="21" s="1"/>
  <c r="J807" i="5"/>
  <c r="J808" i="5" s="1"/>
  <c r="J564" i="5"/>
  <c r="J589" i="5" s="1"/>
  <c r="M567" i="5"/>
  <c r="F807" i="5"/>
  <c r="F808" i="5" s="1"/>
  <c r="F564" i="5"/>
  <c r="F212" i="5"/>
  <c r="F814" i="5" s="1"/>
  <c r="AB54" i="2"/>
  <c r="AB56" i="2" s="1"/>
  <c r="AB57" i="2" s="1"/>
  <c r="AB48" i="2"/>
  <c r="I4463" i="18"/>
  <c r="I4472" i="18" s="1"/>
  <c r="D121" i="47"/>
  <c r="D121" i="51"/>
  <c r="I121" i="51" s="1"/>
  <c r="J121" i="51" s="1"/>
  <c r="D15" i="48"/>
  <c r="M754" i="5"/>
  <c r="X54" i="2"/>
  <c r="X56" i="2" s="1"/>
  <c r="X57" i="2" s="1"/>
  <c r="X48" i="2"/>
  <c r="X49" i="2" s="1"/>
  <c r="H129" i="8"/>
  <c r="G55" i="51"/>
  <c r="G41" i="46"/>
  <c r="G70" i="46"/>
  <c r="L25" i="46"/>
  <c r="G53" i="46"/>
  <c r="G23" i="46"/>
  <c r="L81" i="46"/>
  <c r="L84" i="46"/>
  <c r="E30" i="73" l="1"/>
  <c r="H4968" i="18"/>
  <c r="F30" i="73"/>
  <c r="F64" i="73" s="1"/>
  <c r="I4968" i="18"/>
  <c r="N4457" i="18"/>
  <c r="H4460" i="18"/>
  <c r="H4462" i="18" s="1"/>
  <c r="M70" i="46"/>
  <c r="N70" i="46" s="1"/>
  <c r="M23" i="46"/>
  <c r="N23" i="46" s="1"/>
  <c r="M41" i="46"/>
  <c r="N41" i="46" s="1"/>
  <c r="M84" i="46"/>
  <c r="N84" i="46" s="1"/>
  <c r="E94" i="74"/>
  <c r="L50" i="75"/>
  <c r="L52" i="75" s="1"/>
  <c r="L53" i="75" s="1"/>
  <c r="D95" i="51"/>
  <c r="I95" i="51" s="1"/>
  <c r="J95" i="51" s="1"/>
  <c r="K294" i="50"/>
  <c r="K293" i="50"/>
  <c r="K57" i="68"/>
  <c r="N52" i="71" s="1"/>
  <c r="G293" i="50"/>
  <c r="G294" i="50"/>
  <c r="N4366" i="18"/>
  <c r="O4392" i="18" s="1"/>
  <c r="K289" i="50"/>
  <c r="M289" i="50" s="1"/>
  <c r="N289" i="50" s="1"/>
  <c r="N40" i="2"/>
  <c r="AE54" i="2"/>
  <c r="AE56" i="2" s="1"/>
  <c r="AE57" i="2" s="1"/>
  <c r="F106" i="74"/>
  <c r="F107" i="74" s="1"/>
  <c r="F108" i="74" s="1"/>
  <c r="Q43" i="75"/>
  <c r="Q14" i="75"/>
  <c r="L36" i="72"/>
  <c r="D27" i="48"/>
  <c r="D55" i="52"/>
  <c r="D56" i="52" s="1"/>
  <c r="D17" i="52" s="1"/>
  <c r="F563" i="5"/>
  <c r="F208" i="5" s="1"/>
  <c r="F203" i="5"/>
  <c r="I558" i="5"/>
  <c r="AB47" i="2"/>
  <c r="AB49" i="2" s="1"/>
  <c r="Q14" i="2"/>
  <c r="F52" i="52"/>
  <c r="F16" i="52" s="1"/>
  <c r="D91" i="47"/>
  <c r="M170" i="5"/>
  <c r="D123" i="51" s="1"/>
  <c r="I123" i="51" s="1"/>
  <c r="J123" i="51" s="1"/>
  <c r="H14" i="75"/>
  <c r="H36" i="75" s="1"/>
  <c r="F46" i="69"/>
  <c r="F86" i="69" s="1"/>
  <c r="Y14" i="75"/>
  <c r="Y36" i="75" s="1"/>
  <c r="M193" i="5"/>
  <c r="M801" i="5" s="1"/>
  <c r="D55" i="47"/>
  <c r="E40" i="47" s="1"/>
  <c r="L209" i="5"/>
  <c r="L212" i="5"/>
  <c r="M869" i="5"/>
  <c r="E47" i="70"/>
  <c r="E59" i="70" s="1"/>
  <c r="E123" i="70" s="1"/>
  <c r="E124" i="70" s="1"/>
  <c r="E125" i="70" s="1"/>
  <c r="F51" i="74"/>
  <c r="AB36" i="75"/>
  <c r="AB14" i="71"/>
  <c r="AB37" i="71" s="1"/>
  <c r="AB45" i="71" s="1"/>
  <c r="AB46" i="71" s="1"/>
  <c r="AB47" i="71" s="1"/>
  <c r="L45" i="68"/>
  <c r="H59" i="68"/>
  <c r="H70" i="68" s="1"/>
  <c r="U14" i="71"/>
  <c r="L48" i="72"/>
  <c r="N4456" i="18"/>
  <c r="L57" i="68"/>
  <c r="AA52" i="71" s="1"/>
  <c r="D95" i="47"/>
  <c r="V14" i="71"/>
  <c r="V37" i="71" s="1"/>
  <c r="V51" i="71" s="1"/>
  <c r="V53" i="71" s="1"/>
  <c r="V54" i="71" s="1"/>
  <c r="F33" i="73"/>
  <c r="F52" i="73" s="1"/>
  <c r="T52" i="75"/>
  <c r="T53" i="75" s="1"/>
  <c r="U37" i="71"/>
  <c r="U51" i="71" s="1"/>
  <c r="U53" i="71" s="1"/>
  <c r="U54" i="71"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Q36" i="75"/>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G212" i="5"/>
  <c r="H14" i="71"/>
  <c r="H37" i="71" s="1"/>
  <c r="H51" i="71" s="1"/>
  <c r="H53" i="71" s="1"/>
  <c r="H54" i="71" s="1"/>
  <c r="I435" i="5"/>
  <c r="J15" i="75" s="1"/>
  <c r="J14" i="75" s="1"/>
  <c r="J36" i="75" s="1"/>
  <c r="J50" i="75" s="1"/>
  <c r="F14" i="75"/>
  <c r="F36" i="75" s="1"/>
  <c r="F50" i="75" s="1"/>
  <c r="F52" i="75" s="1"/>
  <c r="F53" i="75" s="1"/>
  <c r="G59" i="68"/>
  <c r="H68" i="68" s="1"/>
  <c r="P21" i="71"/>
  <c r="P33" i="71"/>
  <c r="E68" i="70"/>
  <c r="E85" i="70" s="1"/>
  <c r="E110" i="70" s="1"/>
  <c r="D14" i="75"/>
  <c r="D36" i="75" s="1"/>
  <c r="I193" i="5"/>
  <c r="I801" i="5" s="1"/>
  <c r="I869" i="5"/>
  <c r="I809" i="5"/>
  <c r="E82" i="69"/>
  <c r="E77" i="69"/>
  <c r="E79" i="69" s="1"/>
  <c r="E80" i="69" s="1"/>
  <c r="E89" i="74"/>
  <c r="E64" i="73"/>
  <c r="Q4395" i="18"/>
  <c r="R4395" i="18" s="1"/>
  <c r="F95" i="47"/>
  <c r="F15" i="48"/>
  <c r="F85" i="47"/>
  <c r="G81" i="47" s="1"/>
  <c r="K48" i="72"/>
  <c r="E33" i="73"/>
  <c r="E73" i="73" s="1"/>
  <c r="F121" i="47"/>
  <c r="I121" i="47" s="1"/>
  <c r="J121" i="47" s="1"/>
  <c r="F44" i="74"/>
  <c r="G50" i="72"/>
  <c r="I754" i="5"/>
  <c r="I826" i="5" s="1"/>
  <c r="M14" i="71"/>
  <c r="M37" i="71" s="1"/>
  <c r="M51" i="71" s="1"/>
  <c r="M53" i="71" s="1"/>
  <c r="M54" i="71" s="1"/>
  <c r="F55" i="47"/>
  <c r="G53" i="47" s="1"/>
  <c r="H4463" i="18"/>
  <c r="I805" i="5"/>
  <c r="D70" i="52"/>
  <c r="D22" i="52" s="1"/>
  <c r="E69" i="73"/>
  <c r="K36" i="72"/>
  <c r="I117" i="5"/>
  <c r="E51" i="74"/>
  <c r="I821" i="5"/>
  <c r="I823" i="5" s="1"/>
  <c r="I824" i="5" s="1"/>
  <c r="I192" i="5"/>
  <c r="I800" i="5" s="1"/>
  <c r="M14" i="75"/>
  <c r="M36" i="75" s="1"/>
  <c r="P25" i="75"/>
  <c r="F82" i="48"/>
  <c r="F31" i="48" s="1"/>
  <c r="M806" i="5"/>
  <c r="M807" i="5" s="1"/>
  <c r="M808" i="5" s="1"/>
  <c r="Z14" i="75"/>
  <c r="Z36" i="75" s="1"/>
  <c r="I793" i="5"/>
  <c r="I794" i="5" s="1"/>
  <c r="I842" i="5"/>
  <c r="I843" i="5" s="1"/>
  <c r="I844" i="5" s="1"/>
  <c r="M826" i="5"/>
  <c r="M827" i="5" s="1"/>
  <c r="M828" i="5" s="1"/>
  <c r="I858" i="5"/>
  <c r="I859" i="5" s="1"/>
  <c r="I860" i="5" s="1"/>
  <c r="I874" i="5"/>
  <c r="I875" i="5" s="1"/>
  <c r="I876" i="5" s="1"/>
  <c r="F854" i="5"/>
  <c r="F855" i="5" s="1"/>
  <c r="F856" i="5" s="1"/>
  <c r="N15" i="75"/>
  <c r="N14"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42" i="74"/>
  <c r="E65" i="69"/>
  <c r="E90" i="69" s="1"/>
  <c r="I564" i="5"/>
  <c r="N15" i="71"/>
  <c r="E83" i="69" s="1"/>
  <c r="F65" i="69"/>
  <c r="F90" i="69" s="1"/>
  <c r="E111" i="70"/>
  <c r="AA15" i="71"/>
  <c r="F83" i="69" s="1"/>
  <c r="AA15" i="75"/>
  <c r="R50" i="75"/>
  <c r="R52" i="75" s="1"/>
  <c r="R53" i="75" s="1"/>
  <c r="R44" i="75"/>
  <c r="R45" i="75" s="1"/>
  <c r="O4367" i="18"/>
  <c r="F815" i="5"/>
  <c r="F816" i="5" s="1"/>
  <c r="G85" i="51"/>
  <c r="F120" i="21"/>
  <c r="AE48" i="2"/>
  <c r="J209" i="5"/>
  <c r="M564" i="5"/>
  <c r="M589" i="5" s="1"/>
  <c r="E120" i="21"/>
  <c r="E129" i="21"/>
  <c r="H129" i="21" s="1"/>
  <c r="F209" i="5"/>
  <c r="F56" i="52"/>
  <c r="F17" i="52" s="1"/>
  <c r="G209" i="5"/>
  <c r="J855" i="5"/>
  <c r="J234" i="5"/>
  <c r="X50" i="2"/>
  <c r="M851" i="5"/>
  <c r="M852" i="5" s="1"/>
  <c r="I851" i="5"/>
  <c r="I852" i="5" s="1"/>
  <c r="L83" i="46"/>
  <c r="L54" i="46"/>
  <c r="G80" i="46"/>
  <c r="G66" i="46"/>
  <c r="L53" i="46"/>
  <c r="G52" i="46"/>
  <c r="G68" i="46"/>
  <c r="G79" i="46"/>
  <c r="L58" i="46"/>
  <c r="L56" i="46"/>
  <c r="G38" i="46"/>
  <c r="G25" i="46"/>
  <c r="G50" i="46"/>
  <c r="L293" i="50"/>
  <c r="G71" i="46"/>
  <c r="L55" i="46"/>
  <c r="G73" i="46"/>
  <c r="G64" i="46"/>
  <c r="L74" i="46"/>
  <c r="G67" i="46"/>
  <c r="G69" i="46"/>
  <c r="L80" i="46"/>
  <c r="L57" i="46"/>
  <c r="L75" i="46"/>
  <c r="G65" i="46"/>
  <c r="L79" i="46"/>
  <c r="G49" i="46"/>
  <c r="L60" i="46"/>
  <c r="L78" i="46"/>
  <c r="G63" i="46"/>
  <c r="G62" i="46"/>
  <c r="G72" i="46"/>
  <c r="D96" i="47" l="1"/>
  <c r="D98" i="47" s="1"/>
  <c r="E97" i="47" s="1"/>
  <c r="O4457" i="18"/>
  <c r="I4969" i="18"/>
  <c r="I4975" i="18" s="1"/>
  <c r="I4981" i="18"/>
  <c r="N4965" i="18" s="1"/>
  <c r="F31" i="73"/>
  <c r="F65" i="73" s="1"/>
  <c r="F66" i="73" s="1"/>
  <c r="F67" i="73" s="1"/>
  <c r="H4969" i="18"/>
  <c r="H4975" i="18" s="1"/>
  <c r="H4981" i="18" s="1"/>
  <c r="K4965" i="18" s="1"/>
  <c r="E31" i="73"/>
  <c r="E65" i="73" s="1"/>
  <c r="E66" i="73" s="1"/>
  <c r="E67" i="73" s="1"/>
  <c r="F589" i="5"/>
  <c r="F870" i="5" s="1"/>
  <c r="F871" i="5" s="1"/>
  <c r="H4472" i="18"/>
  <c r="K4457" i="18" s="1"/>
  <c r="D96" i="51"/>
  <c r="D98" i="51" s="1"/>
  <c r="E87" i="51" s="1"/>
  <c r="H87" i="51" s="1"/>
  <c r="M293" i="50"/>
  <c r="N293" i="50" s="1"/>
  <c r="M66" i="46"/>
  <c r="N66" i="46" s="1"/>
  <c r="M62" i="46"/>
  <c r="N62" i="46" s="1"/>
  <c r="M78" i="46"/>
  <c r="N78" i="46" s="1"/>
  <c r="M68" i="46"/>
  <c r="N68" i="46" s="1"/>
  <c r="M53" i="46"/>
  <c r="N53" i="46" s="1"/>
  <c r="M63" i="46"/>
  <c r="N63" i="46" s="1"/>
  <c r="M25" i="46"/>
  <c r="N25" i="46" s="1"/>
  <c r="M58" i="46"/>
  <c r="N58" i="46" s="1"/>
  <c r="M73" i="46"/>
  <c r="N73" i="46" s="1"/>
  <c r="M79" i="46"/>
  <c r="N79" i="46" s="1"/>
  <c r="M83" i="46"/>
  <c r="N83" i="46" s="1"/>
  <c r="M72" i="46"/>
  <c r="N72" i="46" s="1"/>
  <c r="M60" i="46"/>
  <c r="N60" i="46" s="1"/>
  <c r="M71" i="46"/>
  <c r="N71" i="46" s="1"/>
  <c r="M57" i="46"/>
  <c r="N57" i="46" s="1"/>
  <c r="M69" i="46"/>
  <c r="N69" i="46" s="1"/>
  <c r="M56" i="46"/>
  <c r="N56" i="46" s="1"/>
  <c r="M54" i="46"/>
  <c r="N54" i="46" s="1"/>
  <c r="M65" i="46"/>
  <c r="N65" i="46" s="1"/>
  <c r="M80" i="46"/>
  <c r="N80" i="46" s="1"/>
  <c r="M55" i="46"/>
  <c r="N55" i="46" s="1"/>
  <c r="M67" i="46"/>
  <c r="N67" i="46" s="1"/>
  <c r="M64" i="46"/>
  <c r="N64" i="46" s="1"/>
  <c r="M38" i="46"/>
  <c r="N38" i="46" s="1"/>
  <c r="I50" i="75"/>
  <c r="I52" i="75" s="1"/>
  <c r="I53" i="75" s="1"/>
  <c r="AA51" i="75"/>
  <c r="H59" i="72"/>
  <c r="D50" i="75"/>
  <c r="D52" i="75" s="1"/>
  <c r="D53" i="75" s="1"/>
  <c r="F98" i="74"/>
  <c r="F99" i="74" s="1"/>
  <c r="F100" i="74" s="1"/>
  <c r="K50" i="75"/>
  <c r="K52" i="75" s="1"/>
  <c r="K53" i="75" s="1"/>
  <c r="Q44" i="75"/>
  <c r="Q45" i="75" s="1"/>
  <c r="Q46" i="75" s="1"/>
  <c r="F77" i="73"/>
  <c r="AE47" i="2"/>
  <c r="AE49" i="2" s="1"/>
  <c r="AE50" i="2" s="1"/>
  <c r="I853" i="5"/>
  <c r="G289" i="50"/>
  <c r="I289" i="50" s="1"/>
  <c r="J289" i="50" s="1"/>
  <c r="H61" i="72"/>
  <c r="E68" i="74"/>
  <c r="E44" i="74"/>
  <c r="E98" i="74" s="1"/>
  <c r="E99" i="74" s="1"/>
  <c r="E100" i="74" s="1"/>
  <c r="M50" i="75"/>
  <c r="M52" i="75" s="1"/>
  <c r="M53" i="75" s="1"/>
  <c r="AB44" i="75"/>
  <c r="AB45" i="75" s="1"/>
  <c r="AB46" i="75" s="1"/>
  <c r="Y44" i="75"/>
  <c r="Y45" i="75" s="1"/>
  <c r="Y46" i="75" s="1"/>
  <c r="N51" i="75"/>
  <c r="X44" i="75"/>
  <c r="X45" i="75" s="1"/>
  <c r="X46" i="75" s="1"/>
  <c r="U44" i="75"/>
  <c r="U45" i="75" s="1"/>
  <c r="U46" i="75" s="1"/>
  <c r="F88" i="74"/>
  <c r="F90" i="74" s="1"/>
  <c r="F91" i="74" s="1"/>
  <c r="V50" i="75"/>
  <c r="V52" i="75" s="1"/>
  <c r="V53" i="75" s="1"/>
  <c r="H50" i="75"/>
  <c r="H52" i="75" s="1"/>
  <c r="H53" i="75" s="1"/>
  <c r="N54" i="2"/>
  <c r="N56" i="2" s="1"/>
  <c r="N57" i="2" s="1"/>
  <c r="F30" i="52"/>
  <c r="D24" i="52"/>
  <c r="F40" i="48"/>
  <c r="D12" i="52"/>
  <c r="AB50" i="2"/>
  <c r="N9" i="75"/>
  <c r="N9" i="71"/>
  <c r="I203" i="5"/>
  <c r="I563" i="5"/>
  <c r="I208" i="5" s="1"/>
  <c r="Q40" i="2"/>
  <c r="E36" i="47"/>
  <c r="E19" i="47"/>
  <c r="M192" i="5"/>
  <c r="M800" i="5" s="1"/>
  <c r="M803" i="5" s="1"/>
  <c r="M804" i="5" s="1"/>
  <c r="D123" i="47"/>
  <c r="D124" i="47" s="1"/>
  <c r="I124" i="47" s="1"/>
  <c r="J124" i="47" s="1"/>
  <c r="D124" i="51"/>
  <c r="I124" i="51" s="1"/>
  <c r="J124" i="51"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I827" i="5"/>
  <c r="I828" i="5" s="1"/>
  <c r="F115" i="70"/>
  <c r="F116" i="70" s="1"/>
  <c r="F117" i="70" s="1"/>
  <c r="J15" i="71"/>
  <c r="J14" i="71" s="1"/>
  <c r="I803" i="5"/>
  <c r="I804" i="5" s="1"/>
  <c r="I434" i="5"/>
  <c r="I457" i="5" s="1"/>
  <c r="I854" i="5" s="1"/>
  <c r="I212" i="5"/>
  <c r="I814" i="5" s="1"/>
  <c r="I810" i="5"/>
  <c r="I811" i="5" s="1"/>
  <c r="I812" i="5" s="1"/>
  <c r="L4457" i="18"/>
  <c r="E52" i="73"/>
  <c r="K44" i="72"/>
  <c r="K49" i="72" s="1"/>
  <c r="G69" i="47"/>
  <c r="G76" i="47"/>
  <c r="I807" i="5"/>
  <c r="I808" i="5" s="1"/>
  <c r="G43" i="47"/>
  <c r="G44" i="47"/>
  <c r="H44" i="47" s="1"/>
  <c r="E84" i="69"/>
  <c r="E85" i="69" s="1"/>
  <c r="G79" i="47"/>
  <c r="G77" i="47"/>
  <c r="E105" i="70"/>
  <c r="E107" i="70" s="1"/>
  <c r="E108" i="70" s="1"/>
  <c r="G60" i="47"/>
  <c r="G66" i="47"/>
  <c r="G83" i="47"/>
  <c r="G65" i="47"/>
  <c r="G58" i="47"/>
  <c r="H58" i="47" s="1"/>
  <c r="G67" i="47"/>
  <c r="G63" i="47"/>
  <c r="G71" i="47"/>
  <c r="G70" i="47"/>
  <c r="G64" i="47"/>
  <c r="G62" i="47"/>
  <c r="G61" i="47"/>
  <c r="G57" i="47"/>
  <c r="G75" i="47"/>
  <c r="G80" i="47"/>
  <c r="G68" i="47"/>
  <c r="G82" i="47"/>
  <c r="G78" i="47"/>
  <c r="G59" i="47"/>
  <c r="G74" i="47"/>
  <c r="H74" i="47" s="1"/>
  <c r="E84" i="74"/>
  <c r="E85" i="74" s="1"/>
  <c r="E86" i="74" s="1"/>
  <c r="K53" i="68"/>
  <c r="K58" i="68" s="1"/>
  <c r="F91" i="47"/>
  <c r="F96" i="47" s="1"/>
  <c r="F98" i="47" s="1"/>
  <c r="G92" i="47" s="1"/>
  <c r="G30" i="47"/>
  <c r="G19" i="47"/>
  <c r="H19" i="47" s="1"/>
  <c r="G39" i="47"/>
  <c r="G36" i="47"/>
  <c r="H36" i="47" s="1"/>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Q4457" i="18"/>
  <c r="H5099" i="18"/>
  <c r="H5116" i="18" s="1"/>
  <c r="F83" i="48"/>
  <c r="F24" i="48" s="1"/>
  <c r="E74" i="73"/>
  <c r="E75" i="73" s="1"/>
  <c r="E76" i="73" s="1"/>
  <c r="E88" i="74"/>
  <c r="E90" i="74" s="1"/>
  <c r="I813" i="5"/>
  <c r="F19" i="48"/>
  <c r="Z50" i="75"/>
  <c r="Z52" i="75" s="1"/>
  <c r="Z53" i="75" s="1"/>
  <c r="Z44" i="75"/>
  <c r="Z45" i="75" s="1"/>
  <c r="Z46" i="75" s="1"/>
  <c r="N14" i="71"/>
  <c r="P15" i="75"/>
  <c r="E70" i="73"/>
  <c r="E71" i="73" s="1"/>
  <c r="M870" i="5"/>
  <c r="M871" i="5" s="1"/>
  <c r="M872" i="5" s="1"/>
  <c r="I85" i="47"/>
  <c r="J85" i="47" s="1"/>
  <c r="E106" i="74"/>
  <c r="E107" i="74" s="1"/>
  <c r="E108" i="74" s="1"/>
  <c r="AA14" i="71"/>
  <c r="AA37" i="71" s="1"/>
  <c r="AA51" i="71" s="1"/>
  <c r="AA53" i="71" s="1"/>
  <c r="AA54" i="71" s="1"/>
  <c r="E61" i="70"/>
  <c r="E115" i="70" s="1"/>
  <c r="E116" i="70" s="1"/>
  <c r="E117" i="70" s="1"/>
  <c r="E112" i="70"/>
  <c r="E113" i="70" s="1"/>
  <c r="P14" i="75"/>
  <c r="F70" i="73"/>
  <c r="F71" i="73" s="1"/>
  <c r="F72" i="73" s="1"/>
  <c r="AA14" i="75"/>
  <c r="AA36" i="75" s="1"/>
  <c r="R46" i="75"/>
  <c r="E88" i="51"/>
  <c r="H88" i="51" s="1"/>
  <c r="E95" i="51"/>
  <c r="H95" i="51" s="1"/>
  <c r="E96" i="51"/>
  <c r="E97" i="51"/>
  <c r="H97" i="51" s="1"/>
  <c r="E94" i="51"/>
  <c r="H94" i="51" s="1"/>
  <c r="E91" i="51"/>
  <c r="H91" i="51" s="1"/>
  <c r="D99" i="51"/>
  <c r="E90" i="51"/>
  <c r="H90" i="51" s="1"/>
  <c r="E92" i="51"/>
  <c r="H92" i="51" s="1"/>
  <c r="E93" i="51"/>
  <c r="H93" i="51" s="1"/>
  <c r="E89" i="51"/>
  <c r="H89" i="51" s="1"/>
  <c r="F108" i="70"/>
  <c r="F234" i="5"/>
  <c r="E91" i="47"/>
  <c r="E92" i="47"/>
  <c r="E89" i="47"/>
  <c r="E90" i="47"/>
  <c r="E93" i="47"/>
  <c r="E88" i="47"/>
  <c r="D99" i="47"/>
  <c r="E94" i="47"/>
  <c r="E87" i="47"/>
  <c r="E96" i="47"/>
  <c r="E98" i="47" s="1"/>
  <c r="E95" i="47"/>
  <c r="J856" i="5"/>
  <c r="J877" i="5"/>
  <c r="L51" i="46"/>
  <c r="G40" i="46"/>
  <c r="L77" i="46"/>
  <c r="L76" i="46"/>
  <c r="H326" i="50"/>
  <c r="G81" i="46"/>
  <c r="G82" i="46"/>
  <c r="L326" i="50"/>
  <c r="L59" i="46"/>
  <c r="G51" i="46"/>
  <c r="G75" i="46"/>
  <c r="H293" i="50"/>
  <c r="Q4965" i="18" l="1"/>
  <c r="O4965" i="18"/>
  <c r="I7" i="18" s="1"/>
  <c r="L4965" i="18"/>
  <c r="I293" i="50"/>
  <c r="J293" i="50" s="1"/>
  <c r="H78" i="47"/>
  <c r="C47" i="2"/>
  <c r="C48" i="2" s="1"/>
  <c r="I855" i="5"/>
  <c r="I856" i="5" s="1"/>
  <c r="M81" i="46"/>
  <c r="N81" i="46" s="1"/>
  <c r="M75" i="46"/>
  <c r="N75" i="46" s="1"/>
  <c r="M40" i="46"/>
  <c r="N40" i="46" s="1"/>
  <c r="M82" i="46"/>
  <c r="N82" i="46" s="1"/>
  <c r="M51" i="46"/>
  <c r="N51" i="46" s="1"/>
  <c r="AC51" i="75"/>
  <c r="E93" i="74"/>
  <c r="E95" i="74" s="1"/>
  <c r="E96" i="74" s="1"/>
  <c r="Q54" i="2"/>
  <c r="Q56" i="2" s="1"/>
  <c r="Q57" i="2" s="1"/>
  <c r="K50" i="72"/>
  <c r="E78" i="73"/>
  <c r="F93" i="74"/>
  <c r="F95" i="74" s="1"/>
  <c r="F96" i="74" s="1"/>
  <c r="E77" i="73"/>
  <c r="H23" i="47"/>
  <c r="H52" i="47"/>
  <c r="H31" i="47"/>
  <c r="F39" i="48"/>
  <c r="H34" i="47"/>
  <c r="H51" i="47"/>
  <c r="H46" i="47"/>
  <c r="H25" i="47"/>
  <c r="H16" i="47"/>
  <c r="H13" i="47"/>
  <c r="P9" i="75"/>
  <c r="N13" i="75"/>
  <c r="I589" i="5"/>
  <c r="I870" i="5" s="1"/>
  <c r="I871" i="5" s="1"/>
  <c r="I872" i="5" s="1"/>
  <c r="N13" i="71"/>
  <c r="P9" i="71"/>
  <c r="M813" i="5"/>
  <c r="M815" i="5" s="1"/>
  <c r="M816" i="5" s="1"/>
  <c r="I123" i="47"/>
  <c r="J123" i="47" s="1"/>
  <c r="H24" i="47"/>
  <c r="H32" i="47"/>
  <c r="H33" i="47"/>
  <c r="H37" i="47"/>
  <c r="H43" i="47"/>
  <c r="H26" i="47"/>
  <c r="H27" i="47"/>
  <c r="H49" i="47"/>
  <c r="H18" i="47"/>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09" i="5"/>
  <c r="P15" i="71"/>
  <c r="E91" i="69" s="1"/>
  <c r="E92" i="69" s="1"/>
  <c r="E93" i="69" s="1"/>
  <c r="F126" i="70"/>
  <c r="I815" i="5"/>
  <c r="I816" i="5" s="1"/>
  <c r="J51" i="75"/>
  <c r="J52" i="75" s="1"/>
  <c r="J53" i="75" s="1"/>
  <c r="G87" i="47"/>
  <c r="H87" i="47" s="1"/>
  <c r="P51" i="75"/>
  <c r="L4367" i="18"/>
  <c r="G84" i="47"/>
  <c r="H80" i="47"/>
  <c r="G72" i="47"/>
  <c r="H92" i="47"/>
  <c r="F99" i="47"/>
  <c r="G90" i="47"/>
  <c r="H90" i="47" s="1"/>
  <c r="G94" i="47"/>
  <c r="H94" i="47" s="1"/>
  <c r="G91" i="47"/>
  <c r="H91" i="47" s="1"/>
  <c r="G93" i="47"/>
  <c r="H93" i="47" s="1"/>
  <c r="J52" i="71"/>
  <c r="G95" i="47"/>
  <c r="H95" i="47" s="1"/>
  <c r="G89" i="47"/>
  <c r="H89" i="47" s="1"/>
  <c r="G96" i="47"/>
  <c r="H96" i="47" s="1"/>
  <c r="I91" i="47"/>
  <c r="J91" i="47" s="1"/>
  <c r="G97" i="47"/>
  <c r="H97" i="47" s="1"/>
  <c r="I125" i="5"/>
  <c r="I787" i="5" s="1"/>
  <c r="I788" i="5" s="1"/>
  <c r="I789" i="5" s="1"/>
  <c r="G88" i="47"/>
  <c r="H88" i="47" s="1"/>
  <c r="E109" i="74"/>
  <c r="G28" i="47"/>
  <c r="Q5096" i="18"/>
  <c r="P8" i="18" s="1"/>
  <c r="G54" i="47"/>
  <c r="E91" i="74"/>
  <c r="AA45" i="71"/>
  <c r="E72" i="73"/>
  <c r="AC14" i="71"/>
  <c r="AC37" i="71" s="1"/>
  <c r="AC51" i="71" s="1"/>
  <c r="E126" i="70"/>
  <c r="F76" i="73"/>
  <c r="AA50" i="75"/>
  <c r="AA52" i="75" s="1"/>
  <c r="AA53" i="75" s="1"/>
  <c r="AA44" i="75"/>
  <c r="E98" i="51"/>
  <c r="H96" i="51"/>
  <c r="H98" i="51" s="1"/>
  <c r="P52" i="71"/>
  <c r="K59" i="68"/>
  <c r="K68" i="68" s="1"/>
  <c r="L68" i="68" s="1"/>
  <c r="M68" i="68" s="1"/>
  <c r="J37" i="71"/>
  <c r="J51" i="71" s="1"/>
  <c r="P14" i="71"/>
  <c r="W45" i="71"/>
  <c r="W46" i="71" s="1"/>
  <c r="W51" i="71"/>
  <c r="W53" i="71" s="1"/>
  <c r="W54" i="71" s="1"/>
  <c r="F872" i="5"/>
  <c r="F877" i="5"/>
  <c r="L50" i="46"/>
  <c r="G59" i="46"/>
  <c r="L49" i="46"/>
  <c r="L52" i="46"/>
  <c r="F109" i="74" l="1"/>
  <c r="H109" i="74" s="1"/>
  <c r="E79" i="73"/>
  <c r="E80" i="73" s="1"/>
  <c r="I234" i="5"/>
  <c r="M59" i="46"/>
  <c r="N59" i="46" s="1"/>
  <c r="M50" i="46"/>
  <c r="N50" i="46" s="1"/>
  <c r="M49" i="46"/>
  <c r="N49" i="46" s="1"/>
  <c r="K61" i="72"/>
  <c r="L61" i="72" s="1"/>
  <c r="M61" i="72" s="1"/>
  <c r="K59" i="72"/>
  <c r="L59" i="72" s="1"/>
  <c r="M59" i="72" s="1"/>
  <c r="M52" i="46"/>
  <c r="N52" i="46" s="1"/>
  <c r="AC14" i="75"/>
  <c r="AC36" i="75" s="1"/>
  <c r="AC50" i="75" s="1"/>
  <c r="AC52" i="75" s="1"/>
  <c r="AC53" i="75" s="1"/>
  <c r="F78" i="73"/>
  <c r="F79" i="73" s="1"/>
  <c r="AA43" i="75"/>
  <c r="AA45" i="75" s="1"/>
  <c r="AA46" i="75" s="1"/>
  <c r="P13" i="75"/>
  <c r="N36" i="75"/>
  <c r="AA44" i="71"/>
  <c r="AA46" i="71" s="1"/>
  <c r="AA47" i="71" s="1"/>
  <c r="P13" i="71"/>
  <c r="AC44" i="71" s="1"/>
  <c r="N37" i="71"/>
  <c r="N51" i="71" s="1"/>
  <c r="N53" i="71" s="1"/>
  <c r="N54" i="71" s="1"/>
  <c r="H28" i="47"/>
  <c r="AC53" i="71"/>
  <c r="AC54" i="71" s="1"/>
  <c r="E55" i="47"/>
  <c r="H54" i="47"/>
  <c r="E55" i="51"/>
  <c r="H55" i="51"/>
  <c r="E85" i="47"/>
  <c r="H72" i="47"/>
  <c r="I99" i="51"/>
  <c r="J99" i="51" s="1"/>
  <c r="J96" i="51"/>
  <c r="E85" i="51"/>
  <c r="M877" i="5"/>
  <c r="F94" i="69"/>
  <c r="W44" i="75"/>
  <c r="W45" i="75" s="1"/>
  <c r="W46" i="75" s="1"/>
  <c r="E94" i="69"/>
  <c r="H126" i="70"/>
  <c r="G85" i="47"/>
  <c r="K7" i="18"/>
  <c r="P7" i="18" s="1"/>
  <c r="H7" i="18"/>
  <c r="I96" i="47"/>
  <c r="I98" i="47" s="1"/>
  <c r="J53" i="71"/>
  <c r="J54" i="71" s="1"/>
  <c r="H98" i="47"/>
  <c r="G55" i="47"/>
  <c r="G98" i="47"/>
  <c r="I877" i="5"/>
  <c r="AC45" i="71"/>
  <c r="W47" i="71"/>
  <c r="L61" i="46"/>
  <c r="G74" i="46"/>
  <c r="G77" i="46"/>
  <c r="G61" i="46"/>
  <c r="E81" i="73" l="1"/>
  <c r="M74" i="46"/>
  <c r="N74" i="46" s="1"/>
  <c r="N50" i="75"/>
  <c r="N52" i="75" s="1"/>
  <c r="N53" i="75" s="1"/>
  <c r="AC46" i="71"/>
  <c r="AC47" i="71" s="1"/>
  <c r="AC44" i="75"/>
  <c r="M77" i="46"/>
  <c r="N77" i="46" s="1"/>
  <c r="M61" i="46"/>
  <c r="N61" i="46" s="1"/>
  <c r="F80" i="73"/>
  <c r="F81" i="73"/>
  <c r="P37" i="71"/>
  <c r="P51" i="71" s="1"/>
  <c r="P53" i="71" s="1"/>
  <c r="P54" i="71" s="1"/>
  <c r="AC43" i="75"/>
  <c r="P36" i="75"/>
  <c r="H55" i="47"/>
  <c r="H94" i="69"/>
  <c r="J96" i="47"/>
  <c r="C44" i="71"/>
  <c r="C45" i="71" s="1"/>
  <c r="J98" i="47"/>
  <c r="I99" i="47"/>
  <c r="J99" i="47" s="1"/>
  <c r="G76" i="46"/>
  <c r="H81" i="73" l="1"/>
  <c r="AC45" i="75"/>
  <c r="AC46" i="75" s="1"/>
  <c r="M76" i="46"/>
  <c r="N76" i="46" s="1"/>
  <c r="C43" i="75"/>
  <c r="C44" i="75" s="1"/>
  <c r="P50" i="75"/>
  <c r="P52" i="75" s="1"/>
  <c r="P53" i="75"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0.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<sst xmlns="http://schemas.openxmlformats.org/spreadsheetml/2006/main" count="42313" uniqueCount="6822">
  <si>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</si>
  <si>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</si>
  <si>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</si>
  <si>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</si>
  <si>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</si>
  <si>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</si>
  <si>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</si>
  <si>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</si>
  <si>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</si>
  <si>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</si>
  <si>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</si>
  <si>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</si>
  <si>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</si>
  <si>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</si>
  <si>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</si>
  <si>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</si>
  <si>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</si>
  <si>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</si>
  <si>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</si>
  <si>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</si>
  <si>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</si>
  <si>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</si>
  <si>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</si>
  <si>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</si>
  <si>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</si>
  <si>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</si>
  <si>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</si>
  <si>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</si>
  <si>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</si>
  <si>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</si>
  <si>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</si>
  <si>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</si>
  <si>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</si>
  <si>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</si>
  <si>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</si>
  <si>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</si>
  <si>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</si>
  <si>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</si>
  <si>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</si>
  <si>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</si>
  <si>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</si>
  <si>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</si>
  <si>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</si>
  <si>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</si>
  <si>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</si>
  <si>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</si>
  <si>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</si>
  <si>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</si>
  <si>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</si>
  <si>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</si>
  <si>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</si>
  <si>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</si>
  <si>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</si>
  <si>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</si>
  <si>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</si>
  <si>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</si>
  <si>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</si>
  <si>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</si>
  <si>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</si>
  <si>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</si>
  <si>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</si>
  <si>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</si>
  <si>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</si>
  <si>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</si>
  <si>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</si>
  <si>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</si>
  <si>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</si>
  <si>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</si>
  <si>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</si>
  <si>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</si>
  <si>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</si>
  <si>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</si>
  <si>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</si>
  <si>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</si>
  <si>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</si>
  <si>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</si>
  <si>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</si>
  <si>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</si>
  <si>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</si>
  <si>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</si>
  <si>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</si>
  <si>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</si>
  <si>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</si>
  <si>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</si>
  <si>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</si>
  <si>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</si>
  <si>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</si>
  <si>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</si>
  <si>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</si>
  <si>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</si>
  <si>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</si>
  <si>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</si>
  <si>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</si>
  <si>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</si>
  <si>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</si>
  <si>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</si>
  <si>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</si>
  <si>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</si>
  <si>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</si>
  <si>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</si>
  <si>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</si>
  <si>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</si>
  <si>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</si>
  <si>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</si>
  <si>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</si>
  <si>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</si>
  <si>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</si>
  <si>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</si>
  <si>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</si>
  <si>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</si>
  <si>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</si>
  <si>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</si>
  <si>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</si>
  <si>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</si>
  <si>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</si>
  <si>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</si>
  <si>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</si>
  <si>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</si>
  <si>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</si>
  <si>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</si>
  <si>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</si>
  <si>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</si>
  <si>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</si>
  <si>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</si>
  <si>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</si>
  <si>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</si>
  <si>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</si>
  <si>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</si>
  <si>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</si>
  <si>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</si>
  <si>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</si>
  <si>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</si>
  <si>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</si>
  <si>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</si>
  <si>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</si>
  <si>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</si>
  <si>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</si>
  <si>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</si>
  <si>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</si>
  <si>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</si>
  <si>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</si>
  <si>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</si>
  <si>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</si>
  <si>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</si>
  <si>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</si>
  <si>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</si>
  <si>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</si>
  <si>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</si>
  <si>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</si>
  <si>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</si>
  <si>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</si>
  <si>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</si>
  <si>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</si>
  <si>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</si>
  <si>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</si>
  <si>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</si>
  <si>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</si>
  <si>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</si>
  <si>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</si>
  <si>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</si>
  <si>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</si>
  <si>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</si>
  <si>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</si>
  <si>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</si>
  <si>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</si>
  <si>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</si>
  <si>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</si>
  <si>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</si>
  <si>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</si>
  <si>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</si>
  <si>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</si>
  <si>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</si>
  <si>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</si>
  <si>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</si>
  <si>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</si>
  <si>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</si>
  <si>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</si>
  <si>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</si>
  <si>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</si>
  <si>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</si>
  <si>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</si>
  <si>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</si>
  <si>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</si>
  <si>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</si>
  <si>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</si>
  <si>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</si>
  <si>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</si>
  <si>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</si>
  <si>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</si>
  <si>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</si>
  <si>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</si>
  <si>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</si>
  <si>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</si>
  <si>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</si>
  <si>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</si>
  <si>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</si>
  <si>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</si>
  <si>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</si>
  <si>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</si>
  <si>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</si>
  <si>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</si>
  <si>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</si>
  <si>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</si>
  <si>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</si>
  <si>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</si>
  <si>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</si>
  <si>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</si>
  <si>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</si>
  <si>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</si>
  <si>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</si>
  <si>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</si>
  <si>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</si>
  <si>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</si>
  <si>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</si>
  <si>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</si>
  <si>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</si>
  <si>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</si>
  <si>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</si>
  <si>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</si>
  <si>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</si>
  <si>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</si>
  <si>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</si>
  <si>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</si>
  <si>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</si>
  <si>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</si>
  <si>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</si>
  <si>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</si>
  <si>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</si>
  <si>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</si>
  <si>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</si>
  <si>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</si>
  <si>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</si>
  <si>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</si>
  <si>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</si>
  <si>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</si>
  <si>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</si>
  <si>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</si>
  <si>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</si>
  <si>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</si>
  <si>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</si>
  <si>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</si>
  <si>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</si>
  <si>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</si>
  <si>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</si>
  <si>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</si>
  <si>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</si>
  <si>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</si>
  <si>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</si>
  <si>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</si>
  <si>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</si>
  <si>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</si>
  <si>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</si>
  <si>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</si>
  <si>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</si>
  <si>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</si>
  <si>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</si>
  <si>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</si>
  <si>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</si>
  <si>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</si>
  <si>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</si>
  <si>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</si>
  <si>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</si>
  <si>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</si>
  <si>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</si>
  <si>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</si>
  <si>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</si>
  <si>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</si>
  <si>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</si>
  <si>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</si>
  <si>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</si>
  <si>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</si>
  <si>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</si>
  <si>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</si>
  <si>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</si>
  <si>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</si>
  <si>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</si>
  <si>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</si>
  <si>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</si>
  <si>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</si>
  <si>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</si>
  <si>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</si>
  <si>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</si>
  <si>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</si>
  <si>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</si>
  <si>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</si>
  <si>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</si>
  <si>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</si>
  <si>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</si>
  <si>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</si>
  <si>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</si>
  <si>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</si>
  <si>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</si>
  <si>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</si>
  <si>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</si>
  <si>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</si>
  <si>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</si>
  <si>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</si>
  <si>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</si>
  <si>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</si>
  <si>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</si>
  <si>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</si>
  <si>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</si>
  <si>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</si>
  <si>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</si>
  <si>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</si>
  <si>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</si>
  <si>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</si>
  <si>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</si>
  <si>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</si>
  <si>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</si>
  <si>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</si>
  <si>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</si>
  <si>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</si>
  <si>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</si>
  <si>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</si>
  <si>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</si>
  <si>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</si>
  <si>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</si>
  <si>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</si>
  <si>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</si>
  <si>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</si>
  <si>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</si>
  <si>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</si>
  <si>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</si>
  <si>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</si>
  <si>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</si>
  <si>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</si>
  <si>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</si>
  <si>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</si>
  <si>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</si>
  <si>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</si>
  <si>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</si>
  <si>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</si>
  <si>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</si>
  <si>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</si>
  <si>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</si>
  <si>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</si>
  <si>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</si>
  <si>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</si>
  <si>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</si>
  <si>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</si>
  <si>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</si>
  <si>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</si>
  <si>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</si>
  <si>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</si>
  <si>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</si>
  <si>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</si>
  <si>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</si>
  <si>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</si>
  <si>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</si>
  <si>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</si>
  <si>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</si>
  <si>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</si>
  <si>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</si>
  <si>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</si>
  <si>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</si>
  <si>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</si>
  <si>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</si>
  <si>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</si>
  <si>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</si>
  <si>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</si>
  <si>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</si>
  <si>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</si>
  <si>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</si>
  <si>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</si>
  <si>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</si>
  <si>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</si>
  <si>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</si>
  <si>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</si>
  <si>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</si>
  <si>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</si>
  <si>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</si>
  <si>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</si>
  <si>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</si>
  <si>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</si>
  <si>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</si>
  <si>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</si>
  <si>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</si>
  <si>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</si>
  <si>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</si>
  <si>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</si>
  <si>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</si>
  <si>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</si>
  <si>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</si>
  <si>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</si>
  <si>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</si>
  <si>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</si>
  <si>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</si>
  <si>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</si>
  <si>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</si>
  <si>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</si>
  <si>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</si>
  <si>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</si>
  <si>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</si>
  <si>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</si>
  <si>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</si>
  <si>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</si>
  <si>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</si>
  <si>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</si>
  <si>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</si>
  <si>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</si>
  <si>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</si>
  <si>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</si>
  <si>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</si>
  <si>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</si>
  <si>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</si>
  <si>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</si>
  <si>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</si>
  <si>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</si>
  <si>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</si>
  <si>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</si>
  <si>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</si>
  <si>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</si>
  <si>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</si>
  <si>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</si>
  <si>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</si>
  <si>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</si>
  <si>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</si>
  <si>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</si>
  <si>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</si>
  <si>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</si>
  <si>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</si>
  <si>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</si>
  <si>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</si>
  <si>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</si>
  <si>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</si>
  <si>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</si>
  <si>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</si>
  <si>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</si>
  <si>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</si>
  <si>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</si>
  <si>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</si>
  <si>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</si>
  <si>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</si>
  <si>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</si>
  <si>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</si>
  <si>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</si>
  <si>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</si>
  <si>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</si>
  <si>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</si>
  <si>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</si>
  <si>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</si>
  <si>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</si>
  <si>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</si>
  <si>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</si>
  <si>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</si>
  <si>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</si>
  <si>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</si>
  <si>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</si>
  <si>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</si>
  <si>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</si>
  <si>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</si>
  <si>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</si>
  <si>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</si>
  <si>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</si>
  <si>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</si>
  <si>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</si>
  <si>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</si>
  <si>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</si>
  <si>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</si>
  <si>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</si>
  <si>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</si>
  <si>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</si>
  <si>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</si>
  <si>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</si>
  <si>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</si>
  <si>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</si>
  <si>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</si>
  <si>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</si>
  <si>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</si>
  <si>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</si>
  <si>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</si>
  <si>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</si>
  <si>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</si>
  <si>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</si>
  <si>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</si>
  <si>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</si>
  <si>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</si>
  <si>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</si>
  <si>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</si>
  <si>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</si>
  <si>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</si>
  <si>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</si>
  <si>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</si>
  <si>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</si>
  <si>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</si>
  <si>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</si>
  <si>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</si>
  <si>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</si>
  <si>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</si>
  <si>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</si>
  <si>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</si>
  <si>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</si>
  <si>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</si>
  <si>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</si>
  <si>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</si>
  <si>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</si>
  <si>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</si>
  <si>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</si>
  <si>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</si>
  <si>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</si>
  <si>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</si>
  <si>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</si>
  <si>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</si>
  <si>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</si>
  <si>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</si>
  <si>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</si>
  <si>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</si>
  <si>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</si>
  <si>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</si>
  <si>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</si>
  <si>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</si>
  <si>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</si>
  <si>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</si>
  <si>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</si>
  <si>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</si>
  <si>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</si>
  <si>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</si>
  <si>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</si>
  <si>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</si>
  <si>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</si>
  <si>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</si>
  <si>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</si>
  <si>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</si>
  <si>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</si>
  <si>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</si>
  <si>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</si>
  <si>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</si>
  <si>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</si>
  <si>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</si>
  <si>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</si>
  <si>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</si>
  <si>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</si>
  <si>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</si>
  <si>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</si>
  <si>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</si>
  <si>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</si>
  <si>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</si>
  <si>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</si>
  <si>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</si>
  <si>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</si>
  <si>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</si>
  <si>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</si>
  <si>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</si>
  <si>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</si>
  <si>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</si>
  <si>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</si>
  <si>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</si>
  <si>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</si>
  <si>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</si>
  <si>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</si>
  <si>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</si>
  <si>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</si>
  <si>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</si>
  <si>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</si>
  <si>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</si>
  <si>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</si>
  <si>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</si>
  <si>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</si>
  <si>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</si>
  <si>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</si>
  <si>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</si>
  <si>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</si>
  <si>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</si>
  <si>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</si>
  <si>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</si>
  <si>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</si>
  <si>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</si>
  <si>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</si>
  <si>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</si>
  <si>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</si>
  <si>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</si>
  <si>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</si>
  <si>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</si>
  <si>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</si>
  <si>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</si>
  <si>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</si>
  <si>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</si>
  <si>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</si>
  <si>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</si>
  <si>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</si>
  <si>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</si>
  <si>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</si>
  <si>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</si>
  <si>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</si>
  <si>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</si>
  <si>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</si>
  <si>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</si>
  <si>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</si>
  <si>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</si>
  <si>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</si>
  <si>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</si>
  <si>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</si>
  <si>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</si>
  <si>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</si>
  <si>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</si>
  <si>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</si>
  <si>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</si>
  <si>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</si>
  <si>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</si>
  <si>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</si>
  <si>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</si>
  <si>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</si>
  <si>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</si>
  <si>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</si>
  <si>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</si>
  <si>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</si>
  <si>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</si>
  <si>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</si>
  <si>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</si>
  <si>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</si>
  <si>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</si>
  <si>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</si>
  <si>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</si>
  <si>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</si>
  <si>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</si>
  <si>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</si>
  <si>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</si>
  <si>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</si>
  <si>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</si>
  <si>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</si>
  <si>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</si>
  <si>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</si>
  <si>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</si>
  <si>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</si>
  <si>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</si>
  <si>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</si>
  <si>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</si>
  <si>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</si>
  <si>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</si>
  <si>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</si>
  <si>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</si>
  <si>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</si>
  <si>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</si>
  <si>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</si>
  <si>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</si>
  <si>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</si>
  <si>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</si>
  <si>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</si>
  <si>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</si>
  <si>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</si>
  <si>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</si>
  <si>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</si>
  <si>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</si>
  <si>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</si>
  <si>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</si>
  <si>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</si>
  <si>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</si>
  <si>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</si>
  <si>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</si>
  <si>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</si>
  <si>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</si>
  <si>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</si>
  <si>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</si>
  <si>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</si>
  <si>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</si>
  <si>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</si>
  <si>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</si>
  <si>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</si>
  <si>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</si>
  <si>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</si>
  <si>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</si>
  <si>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</si>
  <si>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</si>
  <si>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</si>
  <si>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</si>
  <si>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</si>
  <si>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</si>
  <si>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</si>
  <si>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</si>
  <si>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</si>
  <si>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</si>
  <si>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</si>
  <si>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</si>
  <si>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</si>
  <si>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</si>
  <si>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</si>
  <si>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</si>
  <si>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</si>
  <si>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</si>
  <si>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</si>
  <si>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</si>
  <si>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</si>
  <si>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</si>
  <si>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</si>
  <si>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</si>
  <si>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</si>
  <si>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</si>
  <si>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</si>
  <si>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</si>
  <si>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</si>
  <si>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</si>
  <si>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</si>
  <si>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</si>
  <si>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</si>
  <si>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</si>
  <si>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</si>
  <si>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</si>
  <si>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</si>
  <si>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</si>
  <si>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</si>
  <si>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</si>
  <si>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</si>
  <si>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</si>
  <si>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</si>
  <si>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</si>
  <si>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</si>
  <si>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</si>
  <si>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</si>
  <si>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</si>
  <si>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</si>
  <si>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</si>
  <si>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</si>
  <si>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</si>
  <si>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</si>
  <si>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</si>
  <si>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</si>
  <si>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</si>
  <si>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</si>
  <si>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</si>
  <si>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</si>
  <si>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</si>
  <si>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</si>
  <si>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</si>
  <si>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</si>
  <si>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</si>
  <si>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</si>
  <si>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</si>
  <si>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</si>
  <si>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</si>
  <si>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</si>
  <si>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</si>
  <si>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</si>
  <si>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</si>
  <si>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</si>
  <si>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</si>
  <si>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</si>
  <si>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</si>
  <si>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</si>
  <si>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</si>
  <si>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</si>
  <si>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</si>
  <si>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</si>
  <si>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</si>
  <si>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</si>
  <si>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</si>
  <si>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</si>
  <si>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</si>
  <si>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</si>
  <si>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</si>
  <si>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</si>
  <si>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</si>
  <si>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</si>
  <si>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</si>
  <si>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</si>
  <si>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</si>
  <si>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</si>
  <si>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</si>
  <si>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</si>
  <si>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</si>
  <si>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</si>
  <si>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</si>
  <si>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</si>
  <si>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</si>
  <si>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</si>
  <si>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</si>
  <si>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</si>
  <si>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</si>
  <si>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</si>
  <si>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</si>
  <si>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</si>
  <si>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</si>
  <si>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</si>
  <si>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</si>
  <si>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</si>
  <si>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</si>
  <si>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</si>
  <si>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</si>
  <si>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</si>
  <si>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</si>
  <si>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</si>
  <si>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</si>
  <si>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</si>
  <si>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</si>
  <si>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</si>
  <si>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</si>
  <si>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</si>
  <si>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</si>
  <si>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</si>
  <si>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</si>
  <si>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</si>
  <si>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</si>
  <si>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</si>
  <si>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</si>
  <si>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</si>
  <si>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</si>
  <si>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</si>
  <si>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</si>
  <si>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</si>
  <si>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</si>
  <si>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</si>
  <si>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</si>
  <si>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</si>
  <si>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</si>
  <si>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</si>
  <si>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</si>
  <si>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</si>
  <si>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</si>
  <si>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</si>
  <si>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</si>
  <si>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</si>
  <si>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</si>
  <si>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</si>
  <si>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</si>
  <si>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</si>
  <si>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</si>
  <si>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</si>
  <si>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</si>
  <si>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</si>
  <si>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</si>
  <si>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</si>
  <si>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</si>
  <si>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</si>
  <si>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</si>
  <si>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</si>
  <si>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</si>
  <si>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</si>
  <si>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</si>
  <si>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</si>
  <si>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</si>
  <si>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</si>
  <si>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</si>
  <si>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</si>
  <si>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</si>
  <si>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</si>
  <si>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</si>
  <si>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</si>
  <si>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</si>
  <si>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</si>
  <si>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</si>
  <si>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</si>
  <si>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</si>
  <si>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</si>
  <si>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</si>
  <si>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</si>
  <si>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</si>
  <si>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</si>
  <si>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</si>
  <si>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</si>
  <si>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</si>
  <si>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</si>
  <si>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</si>
  <si>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</si>
  <si>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</si>
  <si>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</si>
  <si>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</si>
  <si>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</si>
  <si>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</si>
  <si>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</si>
  <si>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</si>
  <si>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</si>
  <si>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</si>
  <si>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</si>
  <si>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</si>
  <si>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</si>
  <si>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</si>
  <si>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</si>
  <si>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</si>
  <si>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</si>
  <si>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</si>
  <si>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</si>
  <si>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</si>
  <si>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</si>
  <si>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</si>
  <si>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</si>
  <si>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</si>
  <si>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</si>
  <si>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</si>
  <si>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</si>
  <si>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</si>
  <si>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</si>
  <si>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</si>
  <si>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</si>
  <si>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</si>
  <si>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</si>
  <si>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</si>
  <si>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</si>
  <si>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</si>
  <si>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</si>
  <si>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</si>
  <si>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</si>
  <si>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</si>
  <si>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</si>
  <si>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</si>
  <si>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</si>
  <si>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</si>
  <si>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</si>
  <si>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</si>
  <si>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</si>
  <si>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</si>
  <si>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</si>
  <si>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</si>
  <si>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</si>
  <si>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</si>
  <si>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</si>
  <si>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</si>
  <si>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</si>
  <si>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</si>
  <si>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</si>
  <si>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</si>
  <si>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</si>
  <si>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</si>
  <si>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</si>
  <si>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</si>
  <si>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</si>
  <si>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</si>
  <si>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</si>
  <si>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</si>
  <si>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</si>
  <si>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</si>
  <si>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</si>
  <si>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</si>
  <si>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</si>
  <si>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</si>
  <si>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</si>
  <si>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</si>
  <si>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</si>
  <si>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</si>
  <si>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</si>
  <si>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</si>
  <si>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</si>
  <si>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</si>
  <si>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</si>
  <si>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</si>
  <si>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</si>
  <si>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</si>
  <si>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</si>
  <si>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</si>
  <si>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</si>
  <si>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</si>
  <si>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</si>
  <si>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</si>
  <si>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</si>
  <si>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</si>
  <si>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</si>
  <si>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</si>
  <si>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</si>
  <si>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</si>
  <si>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</si>
  <si>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</si>
  <si>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</si>
  <si>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</si>
  <si>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</si>
  <si>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</si>
  <si>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</si>
  <si>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</si>
  <si>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</si>
  <si>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</si>
  <si>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</si>
  <si>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</si>
  <si>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</si>
  <si>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</si>
  <si>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</si>
  <si>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</si>
  <si>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</si>
  <si>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</si>
  <si>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</si>
  <si>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</si>
  <si>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</si>
  <si>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</si>
  <si>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</si>
  <si>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</si>
  <si>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</si>
  <si>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</si>
  <si>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</si>
  <si>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</si>
  <si>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</si>
  <si>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</si>
  <si>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</si>
  <si>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</si>
  <si>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</si>
  <si>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</si>
  <si>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</si>
  <si>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</si>
  <si>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</si>
  <si>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</si>
  <si>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</si>
  <si>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</si>
  <si>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</si>
  <si>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</si>
  <si>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</si>
  <si>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</si>
  <si>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</si>
  <si>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</si>
  <si>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</si>
  <si>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</si>
  <si>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</si>
  <si>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</si>
  <si>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</si>
  <si>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</si>
  <si>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</si>
  <si>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</si>
  <si>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</si>
  <si>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</si>
  <si>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</si>
  <si>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</si>
  <si>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</si>
  <si>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</si>
  <si>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</si>
  <si>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</si>
  <si>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</si>
  <si>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</si>
  <si>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</si>
  <si>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</si>
  <si>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</si>
  <si>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</si>
  <si>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</si>
  <si>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</si>
  <si>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</si>
  <si>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</si>
  <si>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</si>
  <si>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</si>
  <si>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</si>
  <si>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</si>
  <si>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</si>
  <si>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</si>
  <si>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</si>
  <si>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</si>
  <si>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</si>
  <si>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</si>
  <si>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</si>
  <si>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</si>
  <si>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</si>
  <si>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</si>
  <si>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</si>
  <si>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</si>
  <si>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</si>
  <si>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</si>
  <si>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</si>
  <si>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</si>
  <si>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</si>
  <si>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</si>
  <si>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</si>
  <si>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</si>
  <si>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</si>
  <si>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</si>
  <si>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</si>
  <si>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</si>
  <si>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</si>
  <si>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</si>
  <si>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</si>
  <si>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</si>
  <si>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</si>
  <si>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</si>
  <si>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</si>
  <si>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</si>
  <si>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</si>
  <si>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</si>
  <si>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</si>
  <si>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</si>
  <si>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</si>
  <si>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</si>
  <si>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</si>
  <si>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</si>
  <si>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</si>
  <si>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</si>
  <si>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</si>
  <si>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</si>
  <si>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</si>
  <si>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</si>
  <si>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</si>
  <si>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</si>
  <si>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</si>
  <si>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</si>
  <si>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</si>
  <si>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</si>
  <si>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</si>
  <si>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</si>
  <si>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</si>
  <si>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</si>
  <si>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</si>
  <si>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</si>
  <si>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</si>
  <si>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</si>
  <si>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</si>
  <si>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</si>
  <si>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</si>
  <si>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</si>
  <si>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</si>
  <si>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</si>
  <si>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</si>
  <si>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</si>
  <si>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</si>
  <si>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</si>
  <si>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</si>
  <si>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</si>
  <si>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</si>
  <si>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</si>
  <si>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</si>
  <si>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</si>
  <si>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</si>
  <si>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</si>
  <si>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</si>
  <si>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</si>
  <si>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</si>
  <si>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</si>
  <si>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</si>
  <si>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</si>
  <si>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</si>
  <si>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</si>
  <si>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</si>
  <si>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</si>
  <si>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</si>
  <si>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</si>
  <si>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</si>
  <si>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</si>
  <si>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</si>
  <si>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</si>
  <si>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</si>
  <si>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</si>
  <si>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</si>
  <si>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</si>
  <si>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</si>
  <si>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</si>
  <si>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</si>
  <si>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</si>
  <si>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</si>
  <si>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</si>
  <si>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</si>
  <si>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</si>
  <si>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</si>
  <si>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</si>
  <si>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</si>
  <si>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</si>
  <si>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</si>
  <si>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</si>
  <si>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</si>
  <si>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</si>
  <si>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</si>
  <si>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</si>
  <si>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</si>
  <si>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</si>
  <si>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</si>
  <si>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</si>
  <si>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</si>
  <si>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</si>
  <si>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</si>
  <si>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</si>
  <si>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</si>
  <si>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</si>
  <si>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</si>
  <si>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</si>
  <si>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</si>
  <si>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</si>
  <si>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</si>
  <si>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</si>
  <si>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</si>
  <si>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</si>
  <si>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</si>
  <si>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</si>
  <si>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</si>
  <si>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</si>
  <si>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</si>
  <si>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</si>
  <si>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</si>
  <si>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</si>
  <si>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</si>
  <si>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</si>
  <si>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</si>
  <si>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</si>
  <si>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</si>
  <si>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</si>
  <si>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</si>
  <si>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</si>
  <si>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</si>
  <si>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</si>
  <si>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</si>
  <si>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</si>
  <si>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</si>
  <si>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</si>
  <si>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</si>
  <si>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</si>
  <si>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</si>
  <si>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</si>
  <si>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</si>
  <si>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</si>
  <si>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</si>
  <si>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</si>
  <si>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</si>
  <si>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</si>
  <si>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</si>
  <si>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</si>
  <si>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</si>
  <si>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</si>
  <si>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</si>
  <si>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</si>
  <si>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</si>
  <si>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</si>
  <si>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</si>
  <si>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</si>
  <si>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</si>
  <si>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</si>
  <si>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</si>
  <si>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</si>
  <si>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</si>
  <si>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</si>
  <si>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</si>
  <si>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</si>
  <si>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</si>
  <si>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</si>
  <si>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</si>
  <si>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</si>
  <si>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</si>
  <si>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</si>
  <si>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</si>
  <si>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</si>
  <si>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</si>
  <si>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</si>
  <si>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</si>
  <si>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</si>
  <si>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</si>
  <si>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</si>
  <si>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</si>
  <si>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</si>
  <si>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</si>
  <si>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</si>
  <si>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</si>
  <si>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</si>
  <si>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</si>
  <si>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</si>
  <si>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</si>
  <si>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</si>
  <si>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</si>
  <si>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</si>
  <si>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</si>
  <si>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</si>
  <si>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</si>
  <si>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</si>
  <si>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</si>
  <si>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</si>
  <si>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</si>
  <si>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</si>
  <si>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</si>
  <si>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</si>
  <si>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</si>
  <si>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</si>
  <si>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</si>
  <si>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</si>
  <si>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</si>
  <si>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</si>
  <si>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</si>
  <si>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</si>
  <si>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</si>
  <si>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</si>
  <si>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</si>
  <si>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</si>
  <si>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</si>
  <si>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</si>
  <si>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</si>
  <si>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</si>
  <si>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</si>
  <si>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</si>
  <si>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</si>
  <si>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</si>
  <si>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</si>
  <si>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</si>
  <si>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</si>
  <si>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</si>
  <si>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</si>
  <si>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</si>
  <si>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</si>
  <si>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</si>
  <si>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</si>
  <si>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</si>
  <si>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</si>
  <si>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</si>
  <si>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</si>
  <si>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</si>
  <si>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</si>
  <si>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</si>
  <si>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</si>
  <si>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</si>
  <si>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</si>
  <si>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</si>
  <si>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</si>
  <si>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</si>
  <si>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</si>
  <si>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</si>
  <si>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</si>
  <si>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</si>
  <si>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</si>
  <si>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</si>
  <si>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</si>
  <si>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</si>
  <si>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</si>
  <si>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</si>
  <si>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</si>
  <si>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</si>
  <si>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</si>
  <si>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</si>
  <si>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</si>
  <si>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</si>
  <si>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</si>
  <si>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</si>
  <si>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</si>
  <si>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</si>
  <si>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</si>
  <si>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</si>
  <si>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</si>
  <si>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</si>
  <si>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</si>
  <si>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</si>
  <si>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</si>
  <si>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</si>
  <si>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</si>
  <si>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</si>
  <si>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</si>
  <si>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</si>
  <si>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</si>
  <si>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</si>
  <si>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</si>
  <si>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</si>
  <si>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</si>
  <si>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</si>
  <si>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</si>
  <si>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</si>
  <si>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</si>
  <si>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</si>
  <si>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</si>
  <si>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</si>
  <si>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</si>
  <si>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</si>
  <si>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</si>
  <si>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</si>
  <si>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</si>
  <si>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</si>
  <si>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</si>
  <si>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</si>
  <si>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</si>
  <si>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</si>
  <si>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</si>
  <si>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</si>
  <si>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</si>
  <si>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</si>
  <si>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</si>
  <si>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</si>
  <si>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</si>
  <si>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</si>
  <si>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</si>
  <si>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</si>
  <si>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</si>
  <si>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</si>
  <si>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</si>
  <si>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</si>
  <si>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</si>
  <si>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</si>
  <si>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</si>
  <si>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</si>
  <si>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</si>
  <si>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</si>
  <si>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</si>
  <si>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</si>
  <si>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</si>
  <si>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</si>
  <si>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</si>
  <si>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</si>
  <si>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</si>
  <si>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</si>
  <si>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</si>
  <si>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</si>
  <si>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</si>
  <si>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</si>
  <si>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</si>
  <si>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</si>
  <si>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</si>
  <si>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</si>
  <si>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</si>
  <si>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</si>
  <si>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</si>
  <si>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</si>
  <si>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</si>
  <si>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</si>
  <si>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</si>
  <si>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</si>
  <si>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</si>
  <si>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</si>
  <si>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</si>
  <si>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</si>
  <si>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</si>
  <si>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</si>
  <si>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</si>
  <si>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</si>
  <si>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</si>
  <si>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</si>
  <si>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</si>
  <si>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</si>
  <si>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</si>
  <si>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</si>
  <si>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</si>
  <si>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</si>
  <si>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</si>
  <si>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</si>
  <si>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</si>
  <si>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</si>
  <si>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</si>
  <si>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</si>
  <si>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</si>
  <si>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</si>
  <si>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</si>
  <si>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</si>
  <si>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</si>
  <si>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</si>
  <si>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</si>
  <si>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</si>
  <si>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</si>
  <si>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</si>
  <si>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</si>
  <si>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</si>
  <si>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</si>
  <si>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</si>
  <si>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</si>
  <si>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</si>
  <si>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</si>
  <si>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</si>
  <si>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</si>
  <si>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</si>
  <si>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</si>
  <si>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</si>
  <si>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</si>
  <si>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</si>
  <si>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</si>
  <si>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</si>
  <si>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</si>
  <si>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</si>
  <si>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</si>
  <si>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</si>
  <si>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</si>
  <si>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</si>
  <si>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</si>
  <si>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</si>
  <si>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</si>
  <si>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</si>
  <si>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</si>
  <si>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</si>
  <si>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</si>
  <si>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</si>
  <si>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</si>
  <si>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</si>
  <si>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</si>
  <si>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</si>
  <si>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</si>
  <si>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</si>
  <si>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</si>
  <si>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</si>
  <si>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</si>
  <si>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</si>
  <si>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</si>
  <si>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</si>
  <si>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</si>
  <si>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</si>
  <si>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</si>
  <si>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</si>
  <si>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</si>
  <si>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</si>
  <si>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</si>
  <si>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</si>
  <si>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</si>
  <si>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</si>
  <si>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</si>
  <si>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</si>
  <si>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</si>
  <si>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</si>
  <si>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</si>
  <si>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</si>
  <si>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</si>
  <si>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</si>
  <si>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</si>
  <si>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</si>
  <si>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</si>
  <si>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</si>
  <si>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</si>
  <si>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</si>
  <si>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</si>
  <si>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</si>
  <si>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</si>
  <si>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</si>
  <si>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</si>
  <si>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</si>
  <si>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</si>
  <si>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</si>
  <si>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</si>
  <si>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</si>
  <si>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</si>
  <si>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</si>
  <si>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</si>
  <si>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</si>
  <si>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</si>
  <si>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</si>
  <si>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</si>
  <si>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</si>
  <si>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</si>
  <si>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</si>
  <si>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</si>
  <si>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</si>
  <si>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</si>
  <si>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</si>
  <si>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</si>
  <si>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</si>
  <si>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</si>
  <si>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</si>
  <si>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</si>
  <si>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</si>
  <si>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</si>
  <si>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</si>
  <si>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</si>
  <si>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</si>
  <si>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</si>
  <si>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</si>
  <si>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</si>
  <si>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</si>
  <si>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</si>
  <si>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</si>
  <si>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</si>
  <si>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</si>
  <si>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</si>
  <si>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</si>
  <si>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</si>
  <si>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</si>
  <si>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</si>
  <si>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</si>
  <si>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</si>
  <si>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</si>
  <si>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</si>
  <si>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</si>
  <si>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</si>
  <si>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</si>
  <si>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</si>
  <si>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</si>
  <si>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</si>
  <si>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</si>
  <si>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</si>
  <si>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</si>
  <si>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</si>
  <si>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</si>
  <si>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</si>
  <si>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</si>
  <si>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</si>
  <si>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</si>
  <si>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</si>
  <si>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</si>
  <si>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</si>
  <si>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</si>
  <si>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</si>
  <si>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</si>
  <si>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</si>
  <si>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</si>
  <si>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</si>
  <si>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</si>
  <si>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</si>
  <si>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</si>
  <si>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</si>
  <si>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</si>
  <si>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</si>
  <si>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</si>
  <si>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</si>
  <si>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</si>
  <si>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</si>
  <si>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</si>
  <si>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</si>
  <si>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</si>
  <si>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</si>
  <si>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</si>
  <si>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</si>
  <si>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</si>
  <si>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</si>
  <si>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</si>
  <si>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</si>
  <si>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</si>
  <si>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</si>
  <si>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</si>
  <si>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</si>
  <si>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</si>
  <si>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</si>
  <si>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</si>
  <si>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</si>
  <si>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</si>
  <si>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</si>
  <si>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</si>
  <si>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</si>
  <si>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</si>
  <si>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</si>
  <si>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</si>
  <si>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</si>
  <si>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</si>
  <si>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</si>
  <si>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</si>
  <si>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</si>
  <si>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</si>
  <si>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</si>
  <si>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</si>
  <si>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</si>
  <si>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</si>
  <si>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</si>
  <si>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</si>
  <si>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</si>
  <si>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</si>
  <si>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</si>
  <si>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</si>
  <si>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</si>
  <si>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</si>
  <si>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</si>
  <si>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</si>
  <si>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</si>
  <si>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</si>
  <si>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</si>
  <si>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</si>
  <si>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</si>
  <si>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</si>
  <si>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</si>
  <si>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</si>
  <si>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</si>
  <si>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</si>
  <si>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</si>
  <si>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</si>
  <si>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</si>
  <si>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</si>
  <si>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</si>
  <si>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</si>
  <si>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</si>
  <si>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</si>
  <si>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</si>
  <si>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</si>
  <si>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</si>
  <si>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</si>
  <si>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</si>
  <si>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</si>
  <si>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</si>
  <si>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</si>
  <si>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</si>
  <si>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</si>
  <si>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</si>
  <si>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</si>
  <si>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</si>
  <si>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</si>
  <si>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</si>
  <si>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</si>
  <si>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</si>
  <si>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</si>
  <si>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</si>
  <si>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</si>
  <si>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</si>
  <si>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</si>
  <si>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</si>
  <si>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</si>
  <si>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</si>
  <si>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</si>
  <si>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</si>
  <si>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</si>
  <si>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</si>
  <si>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</si>
  <si>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</si>
  <si>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</si>
  <si>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</si>
  <si>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</si>
  <si>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</si>
  <si>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</si>
  <si>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</si>
  <si>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</si>
  <si>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</si>
  <si>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</si>
  <si>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</si>
  <si>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</si>
  <si>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</si>
  <si>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</si>
  <si>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</si>
  <si>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</si>
  <si>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</si>
  <si>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</si>
  <si>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</si>
  <si>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</si>
  <si>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</si>
  <si>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</si>
  <si>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</si>
  <si>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</si>
  <si>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</si>
  <si>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</si>
  <si>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</si>
  <si>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</si>
  <si>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</si>
  <si>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</si>
  <si>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</si>
  <si>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</si>
  <si>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</si>
  <si>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</si>
  <si>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</si>
  <si>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</si>
  <si>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</si>
  <si>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</si>
  <si>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</si>
  <si>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</si>
  <si>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</si>
  <si>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</si>
  <si>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</si>
  <si>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</si>
  <si>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</si>
  <si>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</si>
  <si>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</si>
  <si>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</si>
  <si>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</si>
  <si>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</si>
  <si>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</si>
  <si>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</si>
  <si>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</si>
  <si>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</si>
  <si>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</si>
  <si>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</si>
  <si>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</si>
  <si>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</si>
  <si>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</si>
  <si>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</si>
  <si>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</si>
  <si>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</si>
  <si>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</si>
  <si>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</si>
  <si>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</si>
  <si>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</si>
  <si>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</si>
  <si>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</si>
  <si>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</si>
  <si>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</si>
  <si>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</si>
  <si>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</si>
  <si>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</si>
  <si>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</si>
  <si>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</si>
  <si>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</si>
  <si>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</si>
  <si>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</si>
  <si>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</si>
  <si>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</si>
  <si>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</si>
  <si>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</si>
  <si>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</si>
  <si>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</si>
  <si>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</si>
  <si>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</si>
  <si>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</si>
  <si>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</si>
  <si>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</si>
  <si>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</si>
  <si>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</si>
  <si>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</si>
  <si>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</si>
  <si>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</si>
  <si>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</si>
  <si>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</si>
  <si>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</si>
  <si>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</si>
  <si>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</si>
  <si>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</si>
  <si>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</si>
  <si>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</si>
  <si>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</si>
  <si>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</si>
  <si>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</si>
  <si>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</si>
  <si>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</si>
  <si>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</si>
  <si>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</si>
  <si>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</si>
  <si>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</si>
  <si>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</si>
  <si>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</si>
  <si>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</si>
  <si>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</si>
  <si>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</si>
  <si>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</si>
  <si>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</si>
  <si>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</si>
  <si>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</si>
  <si>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</si>
  <si>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</si>
  <si>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</si>
  <si>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</si>
  <si>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</si>
  <si>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</si>
  <si>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</si>
  <si>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</si>
  <si>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</si>
  <si>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</si>
  <si>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</si>
  <si>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</si>
  <si>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</si>
  <si>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</si>
  <si>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</si>
  <si>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</si>
  <si>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</si>
  <si>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</si>
  <si>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</si>
  <si>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</si>
  <si>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</si>
  <si>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</si>
  <si>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</si>
  <si>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</si>
  <si>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</si>
  <si>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</si>
  <si>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</si>
  <si>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</si>
  <si>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</si>
  <si>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</si>
  <si>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</si>
  <si>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</si>
  <si>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</si>
  <si>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</si>
  <si>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</si>
  <si>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</si>
  <si>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</si>
  <si>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</si>
  <si>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</si>
  <si>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</si>
  <si>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</si>
  <si>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</si>
  <si>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</si>
  <si>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</si>
  <si>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</si>
  <si>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</si>
  <si>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</si>
  <si>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</si>
  <si>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</si>
  <si>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</si>
  <si>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</si>
  <si>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</si>
  <si>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</si>
  <si>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</si>
  <si>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</si>
  <si>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</si>
  <si>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</si>
  <si>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</si>
  <si>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</si>
  <si>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</si>
  <si>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</si>
  <si>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</si>
  <si>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</si>
  <si>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</si>
  <si>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</si>
  <si>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</si>
  <si>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</si>
  <si>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</si>
  <si>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</si>
  <si>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</si>
  <si>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</si>
  <si>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</si>
  <si>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</si>
  <si>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</si>
  <si>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</si>
  <si>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</si>
  <si>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</si>
  <si>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</si>
  <si>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</si>
  <si>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</si>
  <si>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</si>
  <si>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</si>
  <si>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</si>
  <si>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</si>
  <si>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</si>
  <si>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</si>
  <si>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</si>
  <si>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</si>
  <si>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</si>
  <si>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</si>
  <si>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</si>
  <si>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</si>
  <si>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</si>
  <si>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</si>
  <si>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</si>
  <si>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</si>
  <si>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</si>
  <si>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</si>
  <si>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</si>
  <si>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</si>
  <si>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</si>
  <si>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</si>
  <si>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</si>
  <si>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</si>
  <si>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</si>
  <si>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</si>
  <si>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</si>
  <si>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</si>
  <si>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</si>
  <si>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</si>
  <si>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</si>
  <si>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</si>
  <si>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</si>
  <si>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</si>
  <si>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</si>
  <si>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</si>
  <si>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</si>
  <si>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</si>
  <si>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</si>
  <si>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</si>
  <si>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</si>
  <si>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</si>
  <si>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</si>
  <si>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</si>
  <si>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</si>
  <si>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</si>
  <si>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</si>
  <si>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</si>
  <si>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</si>
  <si>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</si>
  <si>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</si>
  <si>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</si>
  <si>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</si>
  <si>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</si>
  <si>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</si>
  <si>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</si>
  <si>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</si>
  <si>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</si>
  <si>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</si>
  <si>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</si>
  <si>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</si>
  <si>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</si>
  <si>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</si>
  <si>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</si>
  <si>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</si>
  <si>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</si>
  <si>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</si>
  <si>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</si>
  <si>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</si>
  <si>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</si>
  <si>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</si>
  <si>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</si>
  <si>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</si>
  <si>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</si>
  <si>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</si>
  <si>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</si>
  <si>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</si>
  <si>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</si>
  <si>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</si>
  <si>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</si>
  <si>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</si>
  <si>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</si>
  <si>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</si>
  <si>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</si>
  <si>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</si>
  <si>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</si>
  <si>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</si>
  <si>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</si>
  <si>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</si>
  <si>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</si>
  <si>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</si>
  <si>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</si>
  <si>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</si>
  <si>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</si>
  <si>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</si>
  <si>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</si>
  <si>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</si>
  <si>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</si>
  <si>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</si>
  <si>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</si>
  <si>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</si>
  <si>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</si>
  <si>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</si>
  <si>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</si>
  <si>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</si>
  <si>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</si>
  <si>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</si>
  <si>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</si>
  <si>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</si>
  <si>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</si>
  <si>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</si>
  <si>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</si>
  <si>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</si>
  <si>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</si>
  <si>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</si>
  <si>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</si>
  <si>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</si>
  <si>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</si>
  <si>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</si>
  <si>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</si>
  <si>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</si>
  <si>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</si>
  <si>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</si>
  <si>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</si>
  <si>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</si>
  <si>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</si>
  <si>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</si>
  <si>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</si>
  <si>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</si>
  <si>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</si>
  <si>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</si>
  <si>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</si>
  <si>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</si>
  <si>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</si>
  <si>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</si>
  <si>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</si>
  <si>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</si>
  <si>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</si>
  <si>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</si>
  <si>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</si>
  <si>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</si>
  <si>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</si>
  <si>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</si>
  <si>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</si>
  <si>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</si>
  <si>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</si>
  <si>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</si>
  <si>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</si>
  <si>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</si>
  <si>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</si>
  <si>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</si>
  <si>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</si>
  <si>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</si>
  <si>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</si>
  <si>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</si>
  <si>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</si>
  <si>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</si>
  <si>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</si>
  <si>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</si>
  <si>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</si>
  <si>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</si>
  <si>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</si>
  <si>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</si>
  <si>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</si>
  <si>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</si>
  <si>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</si>
  <si>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</si>
  <si>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</si>
  <si>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</si>
  <si>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</si>
  <si>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</si>
  <si>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</si>
  <si>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</si>
  <si>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</si>
  <si>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</si>
  <si>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</si>
  <si>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</si>
  <si>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</si>
  <si>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</si>
  <si>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</si>
  <si>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</si>
  <si>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</si>
  <si>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</si>
  <si>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</si>
  <si>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</si>
  <si>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</si>
  <si>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</si>
  <si>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</si>
  <si>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</si>
  <si>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</si>
  <si>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</si>
  <si>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</si>
  <si>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</si>
  <si>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</si>
  <si>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</si>
  <si>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</si>
  <si>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</si>
  <si>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</si>
  <si>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</si>
  <si>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</si>
  <si>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</si>
  <si>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</si>
  <si>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</si>
  <si>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</si>
  <si>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</si>
  <si>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</si>
  <si>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</si>
  <si>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</si>
  <si>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</si>
  <si>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</si>
  <si>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</si>
  <si>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</si>
  <si>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</si>
  <si>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</si>
  <si>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</si>
  <si>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</si>
  <si>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</si>
  <si>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</si>
  <si>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</si>
  <si>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</si>
  <si>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</si>
  <si>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</si>
  <si>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</si>
  <si>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</si>
  <si>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</si>
  <si>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</si>
  <si>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</si>
  <si>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</si>
  <si>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</si>
  <si>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</si>
  <si>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</si>
  <si>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</si>
  <si>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</si>
  <si>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</si>
  <si>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</si>
  <si>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</si>
  <si>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</si>
  <si>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</si>
  <si>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</si>
  <si>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</si>
  <si>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</si>
  <si>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</si>
  <si>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</si>
  <si>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</si>
  <si>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</si>
  <si>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</si>
  <si>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</si>
  <si>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</si>
  <si>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</si>
  <si>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</si>
  <si>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</si>
  <si>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</si>
  <si>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</si>
  <si>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</si>
  <si>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</si>
  <si>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</si>
  <si>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</si>
  <si>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</si>
  <si>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</si>
  <si>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</si>
  <si>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</si>
  <si>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</si>
  <si>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</si>
  <si>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</si>
  <si>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</si>
  <si>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</si>
  <si>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</si>
  <si>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</si>
  <si>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</si>
  <si>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</si>
  <si>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</si>
  <si>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</si>
  <si>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</si>
  <si>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</si>
  <si>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</si>
  <si>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</si>
  <si>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</si>
  <si>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</si>
  <si>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</si>
  <si>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</si>
  <si>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</si>
  <si>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</si>
  <si>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</si>
  <si>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</si>
  <si>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</si>
  <si>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</si>
  <si>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</si>
  <si>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</si>
  <si>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</si>
  <si>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</si>
  <si>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</si>
  <si>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</si>
  <si>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</si>
  <si>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</si>
  <si>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</si>
  <si>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</si>
  <si>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</si>
  <si>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</si>
  <si>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</si>
  <si>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</si>
  <si>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</si>
  <si>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</si>
  <si>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</si>
  <si>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</si>
  <si>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</si>
  <si>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</si>
  <si>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</si>
  <si>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</si>
  <si>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</si>
  <si>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</si>
  <si>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</si>
  <si>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</si>
  <si>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</si>
  <si>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</si>
  <si>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</si>
  <si>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</si>
  <si>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</si>
  <si>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</si>
  <si>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</si>
  <si>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</si>
  <si>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</si>
  <si>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</si>
  <si>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</si>
  <si>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</si>
  <si>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</si>
  <si>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</si>
  <si>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</si>
  <si>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</si>
  <si>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</si>
  <si>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</si>
  <si>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</si>
  <si>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</si>
  <si>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</si>
  <si>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</si>
  <si>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</si>
  <si>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</si>
  <si>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</si>
  <si>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</si>
  <si>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</si>
  <si>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</si>
  <si>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</si>
  <si>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</si>
  <si>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</si>
  <si>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</si>
  <si>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</si>
  <si>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</si>
  <si>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</si>
  <si>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</si>
  <si>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</si>
  <si>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</si>
  <si>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</si>
  <si>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</si>
  <si>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</si>
  <si>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</si>
  <si>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</si>
  <si>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</si>
  <si>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</si>
  <si>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</si>
  <si>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</si>
  <si>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</si>
  <si>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</si>
  <si>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</si>
  <si>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</si>
  <si>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</si>
  <si>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</si>
  <si>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</si>
  <si>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</si>
  <si>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</si>
  <si>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</si>
  <si>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</si>
  <si>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</si>
  <si>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</si>
  <si>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</si>
  <si>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</si>
  <si>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</si>
  <si>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</si>
  <si>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</si>
  <si>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</si>
  <si>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</si>
  <si>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</si>
  <si>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</si>
  <si>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</si>
  <si>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</si>
  <si>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</si>
  <si>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</si>
  <si>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</si>
  <si>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</si>
  <si>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</si>
  <si>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</si>
  <si>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</si>
  <si>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</si>
  <si>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</si>
  <si>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</si>
  <si>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</si>
  <si>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</si>
  <si>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</si>
  <si>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</si>
  <si>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</si>
  <si>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</si>
  <si>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</si>
  <si>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</si>
  <si>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</si>
  <si>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</si>
  <si>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</si>
  <si>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</si>
  <si>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</si>
  <si>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</si>
  <si>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</si>
  <si>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</si>
  <si>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</si>
  <si>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</si>
  <si>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</si>
  <si>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</si>
  <si>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</si>
  <si>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</si>
  <si>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</si>
  <si>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</si>
  <si>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</si>
  <si>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</si>
  <si>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</si>
  <si>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</si>
  <si>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</si>
  <si>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</si>
  <si>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</si>
  <si>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</si>
  <si>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</si>
  <si>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</si>
  <si>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</si>
  <si>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</si>
  <si>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</si>
  <si>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</si>
  <si>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</si>
  <si>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</si>
  <si>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</si>
  <si>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</si>
  <si>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</si>
  <si>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</si>
  <si>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</si>
  <si>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</si>
  <si>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</si>
  <si>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</si>
  <si>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</si>
  <si>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</si>
  <si>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</si>
  <si>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</si>
  <si>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</si>
  <si>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</si>
  <si>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</si>
  <si>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</si>
  <si>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</si>
  <si>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</si>
  <si>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</si>
  <si>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</si>
  <si>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</si>
  <si>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</si>
  <si>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</si>
  <si>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</si>
  <si>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</si>
  <si>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</si>
  <si>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</si>
  <si>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</si>
  <si>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</si>
  <si>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</si>
  <si>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</si>
  <si>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</si>
  <si>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</si>
  <si>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</si>
  <si>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</si>
  <si>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</si>
  <si>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</si>
  <si>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</si>
  <si>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</si>
  <si>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</si>
  <si>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</si>
  <si>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</si>
  <si>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</si>
  <si>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</si>
  <si>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</si>
  <si>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</si>
  <si>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</si>
  <si>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</si>
  <si>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</si>
  <si>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</si>
  <si>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</si>
  <si>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</si>
  <si>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</si>
  <si>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</si>
  <si>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</si>
  <si>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</si>
  <si>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</si>
  <si>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</si>
  <si>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</si>
  <si>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</si>
  <si>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</si>
  <si>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</si>
  <si>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</si>
  <si>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</si>
  <si>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</si>
  <si>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</si>
  <si>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</si>
  <si>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</si>
  <si>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</si>
  <si>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</si>
  <si>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</si>
  <si>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</si>
  <si>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</si>
  <si>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</si>
  <si>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</si>
  <si>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</si>
  <si>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</si>
  <si>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</si>
  <si>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</si>
  <si>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</si>
  <si>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</si>
  <si>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</si>
  <si>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</si>
  <si>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</si>
  <si>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</si>
  <si>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</si>
  <si>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</si>
  <si>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</si>
  <si>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</si>
  <si>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</si>
  <si>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</si>
  <si>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</si>
  <si>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</si>
  <si>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</si>
  <si>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</si>
  <si>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</si>
  <si>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</si>
  <si>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</si>
  <si>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</si>
  <si>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</si>
  <si>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</si>
  <si>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</si>
  <si>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</si>
  <si>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</si>
  <si>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</si>
  <si>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</si>
  <si>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</si>
  <si>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</si>
  <si>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</si>
  <si>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</si>
  <si>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</si>
  <si>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</si>
  <si>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</si>
  <si>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</si>
  <si>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</si>
  <si>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</si>
  <si>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</si>
  <si>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</si>
  <si>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</si>
  <si>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</si>
  <si>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</si>
  <si>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</si>
  <si>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</si>
  <si>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</si>
  <si>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</si>
  <si>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</si>
  <si>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</si>
  <si>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</si>
  <si>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</si>
  <si>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</si>
  <si>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</si>
  <si>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</si>
  <si>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</si>
  <si>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</si>
  <si>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</si>
  <si>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</si>
  <si>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</si>
  <si>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</si>
  <si>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</si>
  <si>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</si>
  <si>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</si>
  <si>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</si>
  <si>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</si>
  <si>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</si>
  <si>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</si>
  <si>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</si>
  <si>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</si>
  <si>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</si>
  <si>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</si>
  <si>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</si>
  <si>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</si>
  <si>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</si>
  <si>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</si>
  <si>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</si>
  <si>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</si>
  <si>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</si>
  <si>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</si>
  <si>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</si>
  <si>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</si>
  <si>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</si>
  <si>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</si>
  <si>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</si>
  <si>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</si>
  <si>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</si>
  <si>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</si>
  <si>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</si>
  <si>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</si>
  <si>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</si>
  <si>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</si>
  <si>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</si>
  <si>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</si>
  <si>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</si>
  <si>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</si>
  <si>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</si>
  <si>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</si>
  <si>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</si>
  <si>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</si>
  <si>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</si>
  <si>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</si>
  <si>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</si>
  <si>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</si>
  <si>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</si>
  <si>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</si>
  <si>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</si>
  <si>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</si>
  <si>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</si>
  <si>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</si>
  <si>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</si>
  <si>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</si>
  <si>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</si>
  <si>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</si>
  <si>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</si>
  <si>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</si>
  <si>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</si>
  <si>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</si>
  <si>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</si>
  <si>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</si>
  <si>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</si>
  <si>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</si>
  <si>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</si>
  <si>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</si>
  <si>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</si>
  <si>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</si>
  <si>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</si>
  <si>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</si>
  <si>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</si>
  <si>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</si>
  <si>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</si>
  <si>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</si>
  <si>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</si>
  <si>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</si>
  <si>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</si>
  <si>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</si>
  <si>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</si>
  <si>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</si>
  <si>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</si>
  <si>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</si>
  <si>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</si>
  <si>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</si>
  <si>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</si>
  <si>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</si>
  <si>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</si>
  <si>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</si>
  <si>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</si>
  <si>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</si>
  <si>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</si>
  <si>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</si>
  <si>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</si>
  <si>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</si>
  <si>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</si>
  <si>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</si>
  <si>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</si>
  <si>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</si>
  <si>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</si>
  <si>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</si>
  <si>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</si>
  <si>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</si>
  <si>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</si>
  <si>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</si>
  <si>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</si>
  <si>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</si>
  <si>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</si>
  <si>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</si>
  <si>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</si>
  <si>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</si>
  <si>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</si>
  <si>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</si>
  <si>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</si>
  <si>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</si>
  <si>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</si>
  <si>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</si>
  <si>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</si>
  <si>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</si>
  <si>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</si>
  <si>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</si>
  <si>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</si>
  <si>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</si>
  <si>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</si>
  <si>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</si>
  <si>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</si>
  <si>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</si>
  <si>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</si>
  <si>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</si>
  <si>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</si>
  <si>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</si>
  <si>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</si>
  <si>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</si>
  <si>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</si>
  <si>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</si>
  <si>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</si>
  <si>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</si>
  <si>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</si>
  <si>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</si>
  <si>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</si>
  <si>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</si>
  <si>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</si>
  <si>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</si>
  <si>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</si>
  <si>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</si>
  <si>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</si>
  <si>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</si>
  <si>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</si>
  <si>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</si>
  <si>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</si>
  <si>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</si>
  <si>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</si>
  <si>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</si>
  <si>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</si>
  <si>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</si>
  <si>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</si>
  <si>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</si>
  <si>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</si>
  <si>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</si>
  <si>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</si>
  <si>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</si>
  <si>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</si>
  <si>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</si>
  <si>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</si>
  <si>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</si>
  <si>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</si>
  <si>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</si>
  <si>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</si>
  <si>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</si>
  <si>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</si>
  <si>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</si>
  <si>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</si>
  <si>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</si>
  <si>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</si>
  <si>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</si>
  <si>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</si>
  <si>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</si>
  <si>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</si>
  <si>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</si>
  <si>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</si>
  <si>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</si>
  <si>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</si>
  <si>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</si>
  <si>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</si>
  <si>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</si>
  <si>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</si>
  <si>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</si>
  <si>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</si>
  <si>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</si>
  <si>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</si>
  <si>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</si>
  <si>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</si>
  <si>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</si>
  <si>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</si>
  <si>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</si>
  <si>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</si>
  <si>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</si>
  <si>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</si>
  <si>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</si>
  <si>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</si>
  <si>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</si>
  <si>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</si>
  <si>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</si>
  <si>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</si>
  <si>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</si>
  <si>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</si>
  <si>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</si>
  <si>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</si>
  <si>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</si>
  <si>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</si>
  <si>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</si>
  <si>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</si>
  <si>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</si>
  <si>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</si>
  <si>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</si>
  <si>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</si>
  <si>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</si>
  <si>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</si>
  <si>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</si>
  <si>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</si>
  <si>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</si>
  <si>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</si>
  <si>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</si>
  <si>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</si>
  <si>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</si>
  <si>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</si>
  <si>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</si>
  <si>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</si>
  <si>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</si>
  <si>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</si>
  <si>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</si>
  <si>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</si>
  <si>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</si>
  <si>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</si>
  <si>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</si>
  <si>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</si>
  <si>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</si>
  <si>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</si>
  <si>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</si>
  <si>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</si>
  <si>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</si>
  <si>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</si>
  <si>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</si>
  <si>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</si>
  <si>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</si>
  <si>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</si>
  <si>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</si>
  <si>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</si>
  <si>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</si>
  <si>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</si>
  <si>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</si>
  <si>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</si>
  <si>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</si>
  <si>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</si>
  <si>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</si>
  <si>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</si>
  <si>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</si>
  <si>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</si>
  <si>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</si>
  <si>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</si>
  <si>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</si>
  <si>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</si>
  <si>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</si>
  <si>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</si>
  <si>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</si>
  <si>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</si>
  <si>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</si>
  <si>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</si>
  <si>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</si>
  <si>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</si>
  <si>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</si>
  <si>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</si>
  <si>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</si>
  <si>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</si>
  <si>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</si>
  <si>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</si>
  <si>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</si>
  <si>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</si>
  <si>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</si>
  <si>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</si>
  <si>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</si>
  <si>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</si>
  <si>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</si>
  <si>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</si>
  <si>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</si>
  <si>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</si>
  <si>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</si>
  <si>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</si>
  <si>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</si>
  <si>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</si>
  <si>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</si>
  <si>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</si>
  <si>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</si>
  <si>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</si>
  <si>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</si>
  <si>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</si>
  <si>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</si>
  <si>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</si>
  <si>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</si>
  <si>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</si>
  <si>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</si>
  <si>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</si>
  <si>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</si>
  <si>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</si>
  <si>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</si>
  <si>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</si>
  <si>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</si>
  <si>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</si>
  <si>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</si>
  <si>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</si>
  <si>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</si>
  <si>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</si>
  <si>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</si>
  <si>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</si>
  <si>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</si>
  <si>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</si>
  <si>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</si>
  <si>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</si>
  <si>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</si>
  <si>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</si>
  <si>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</si>
  <si>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</si>
  <si>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</si>
  <si>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</si>
  <si>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</si>
  <si>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</si>
  <si>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</si>
  <si>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</si>
  <si>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</si>
  <si>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</si>
  <si>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</si>
  <si>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</si>
  <si>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</si>
  <si>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</si>
  <si>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</si>
  <si>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</si>
  <si>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</si>
  <si>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</si>
  <si>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</si>
  <si>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</si>
  <si>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</si>
  <si>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</si>
  <si>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</si>
  <si>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</si>
  <si>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</si>
  <si>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</si>
  <si>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</si>
  <si>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</si>
  <si>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</si>
  <si>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</si>
  <si>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</si>
  <si>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</si>
  <si>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</si>
  <si>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</si>
  <si>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</si>
  <si>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</si>
  <si>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</si>
  <si>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</si>
  <si>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</si>
  <si>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</si>
  <si>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</si>
  <si>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</si>
  <si>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</si>
  <si>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</si>
  <si>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</si>
  <si>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</si>
  <si>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</si>
  <si>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</si>
  <si>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</si>
  <si>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</si>
  <si>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</si>
  <si>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</si>
  <si>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</si>
  <si>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</si>
  <si>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</si>
  <si>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</si>
  <si>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</si>
  <si>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</si>
  <si>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</si>
  <si>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</si>
  <si>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</si>
  <si>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</si>
  <si>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</si>
  <si>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</si>
  <si>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</si>
  <si>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</si>
  <si>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</si>
  <si>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</si>
  <si>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</si>
  <si>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</si>
  <si>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</si>
  <si>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</si>
  <si>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</si>
  <si>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</si>
  <si>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</si>
  <si>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</si>
  <si>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</si>
  <si>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</si>
  <si>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</si>
  <si>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</si>
  <si>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</si>
  <si>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</si>
  <si>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</si>
  <si>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</si>
  <si>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</si>
  <si>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</si>
  <si>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</si>
  <si>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</si>
  <si>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</si>
  <si>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</si>
  <si>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</si>
  <si>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</si>
  <si>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</si>
  <si>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</si>
  <si>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</si>
  <si>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</si>
  <si>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</si>
  <si>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</si>
  <si>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</si>
  <si>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</si>
  <si>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</si>
  <si>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</si>
  <si>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</si>
  <si>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</si>
  <si>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</si>
  <si>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</si>
  <si>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</si>
  <si>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</si>
  <si>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</si>
  <si>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</si>
  <si>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</si>
  <si>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</si>
  <si>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</si>
  <si>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</si>
  <si>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</si>
  <si>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</si>
  <si>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</si>
  <si>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</si>
  <si>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</si>
  <si>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</si>
  <si>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</si>
  <si>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</si>
  <si>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</si>
  <si>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</si>
  <si>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</si>
  <si>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</si>
  <si>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</si>
  <si>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</si>
  <si>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</si>
  <si>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</si>
  <si>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</si>
  <si>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</si>
  <si>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</si>
  <si>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</si>
  <si>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</si>
  <si>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</si>
  <si>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</si>
  <si>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</si>
  <si>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</si>
  <si>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</si>
  <si>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</si>
  <si>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</si>
  <si>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</si>
  <si>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</si>
  <si>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</si>
  <si>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</si>
  <si>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</si>
  <si>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</si>
  <si>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</si>
  <si>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</si>
  <si>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</si>
  <si>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</si>
  <si>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</si>
  <si>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</si>
  <si>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</si>
  <si>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</si>
  <si>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</si>
  <si>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</si>
  <si>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</si>
  <si>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</si>
  <si>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</si>
  <si>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</si>
  <si>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</si>
  <si>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</si>
  <si>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</si>
  <si>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</si>
  <si>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</si>
  <si>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</si>
  <si>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</si>
  <si>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</si>
  <si>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</si>
  <si>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</si>
  <si>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</si>
  <si>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</si>
  <si>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</si>
  <si>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</si>
  <si>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</si>
  <si>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</si>
  <si>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</si>
  <si>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</si>
  <si>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</si>
  <si>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</si>
  <si>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</si>
  <si>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</si>
  <si>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</si>
  <si>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</si>
  <si>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</si>
  <si>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</si>
  <si>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</si>
  <si>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</si>
  <si>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</si>
  <si>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</si>
  <si>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</si>
  <si>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</si>
  <si>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</si>
  <si>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</si>
  <si>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</si>
  <si>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</si>
  <si>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</si>
  <si>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</si>
  <si>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</si>
  <si>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</si>
  <si>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</si>
  <si>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</si>
  <si>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</si>
  <si>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</si>
  <si>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</si>
  <si>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</si>
  <si>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</si>
  <si>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</si>
  <si>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</si>
  <si>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</si>
  <si>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</si>
  <si>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</si>
  <si>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</si>
  <si>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</si>
  <si>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</si>
  <si>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</si>
  <si>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</si>
  <si>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</si>
  <si>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</si>
  <si>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</si>
  <si>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</si>
  <si>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</si>
  <si>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</si>
  <si>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</si>
  <si>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</si>
  <si>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</si>
  <si>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</si>
  <si>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</si>
  <si>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</si>
  <si>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</si>
  <si>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</si>
  <si>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</si>
  <si>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</si>
  <si>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</si>
  <si>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</si>
  <si>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</si>
  <si>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</si>
  <si>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</si>
  <si>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</si>
  <si>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</si>
  <si>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</si>
  <si>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</si>
  <si>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</si>
  <si>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</si>
  <si>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</si>
  <si>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</si>
  <si>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</si>
  <si>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</si>
  <si>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</si>
  <si>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</si>
  <si>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</si>
  <si>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</si>
  <si>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</si>
  <si>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</si>
  <si>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</si>
  <si>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</si>
  <si>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</si>
  <si>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</si>
  <si>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</si>
  <si>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</si>
  <si>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</si>
  <si>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</si>
  <si>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</si>
  <si>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</si>
  <si>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</si>
  <si>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</si>
  <si>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</si>
  <si>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</si>
  <si>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</si>
  <si>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</si>
  <si>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</si>
  <si>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</si>
  <si>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</si>
  <si>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</si>
  <si>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</si>
  <si>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</si>
  <si>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</si>
  <si>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</si>
  <si>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</si>
  <si>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</si>
  <si>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</si>
  <si>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</si>
  <si>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</si>
  <si>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</si>
  <si>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</si>
  <si>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</si>
  <si>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</si>
  <si>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</si>
  <si>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</si>
  <si>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</si>
  <si>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</si>
  <si>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</si>
  <si>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</si>
  <si>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</si>
  <si>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</si>
  <si>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</si>
  <si>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</si>
  <si>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</si>
  <si>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</si>
  <si>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</si>
  <si>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</si>
  <si>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</si>
  <si>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</si>
  <si>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</si>
  <si>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</si>
  <si>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</si>
  <si>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</si>
  <si>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</si>
  <si>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</si>
  <si>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</si>
  <si>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</si>
  <si>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</si>
  <si>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</si>
  <si>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</si>
  <si>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</si>
  <si>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</si>
  <si>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</si>
  <si>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</si>
  <si>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</si>
  <si>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</si>
  <si>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</si>
  <si>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</si>
  <si>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</si>
  <si>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</si>
  <si>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</si>
  <si>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</si>
  <si>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</si>
  <si>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</si>
  <si>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</si>
  <si>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</si>
  <si>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</si>
  <si>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</si>
  <si>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</si>
  <si>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</si>
  <si>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</si>
  <si>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</si>
  <si>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</si>
  <si>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</si>
  <si>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</si>
  <si>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</si>
  <si>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</si>
  <si>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</si>
  <si>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</si>
  <si>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</si>
  <si>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</si>
  <si>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</si>
  <si>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</si>
  <si>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</si>
  <si>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</si>
  <si>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</si>
  <si>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</si>
  <si>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</si>
  <si>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</si>
  <si>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</si>
  <si>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</si>
  <si>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</si>
  <si>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</si>
  <si>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</si>
  <si>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</si>
  <si>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</si>
  <si>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</si>
  <si>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</si>
  <si>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</si>
  <si>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</si>
  <si>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</si>
  <si>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</si>
  <si>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</si>
  <si>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</si>
  <si>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</si>
  <si>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</si>
  <si>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</si>
  <si>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</si>
  <si>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</si>
  <si>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</si>
  <si>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</si>
  <si>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</si>
  <si>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</si>
  <si>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</si>
  <si>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</si>
  <si>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</si>
  <si>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</si>
  <si>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</si>
  <si>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</si>
  <si>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</si>
  <si>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</si>
  <si>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</si>
  <si>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</si>
  <si>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</si>
  <si>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</si>
  <si>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</si>
  <si>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</si>
  <si>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</si>
  <si>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</si>
  <si>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</si>
  <si>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</si>
  <si>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</si>
  <si>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</si>
  <si>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</si>
  <si>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</si>
  <si>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</si>
  <si>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</si>
  <si>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</si>
  <si>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</si>
  <si>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</si>
  <si>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</si>
  <si>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</si>
  <si>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</si>
  <si>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</si>
  <si>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</si>
  <si>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</si>
  <si>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</si>
  <si>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</si>
  <si>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</si>
  <si>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</si>
  <si>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</si>
  <si>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</si>
  <si>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</si>
  <si>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</si>
  <si>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</si>
  <si>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</si>
  <si>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</si>
  <si>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</si>
  <si>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</si>
  <si>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</si>
  <si>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</si>
  <si>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</si>
  <si>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</si>
  <si>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</si>
  <si>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</si>
  <si>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</si>
  <si>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</si>
  <si>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</si>
  <si>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</si>
  <si>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</si>
  <si>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</si>
  <si>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</si>
  <si>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</si>
  <si>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</si>
  <si>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</si>
  <si>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</si>
  <si>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</si>
  <si>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</si>
  <si>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</si>
  <si>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</si>
  <si>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</si>
  <si>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</si>
  <si>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</si>
  <si>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</si>
  <si>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</si>
  <si>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</si>
  <si>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</si>
  <si>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</si>
  <si>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</si>
  <si>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</si>
  <si>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</si>
  <si>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</si>
  <si>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</si>
  <si>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</si>
  <si>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</si>
  <si>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</si>
  <si>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</si>
  <si>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</si>
  <si>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</si>
  <si>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</si>
  <si>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</si>
  <si>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</si>
  <si>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</si>
  <si>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</si>
  <si>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</si>
  <si>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</si>
  <si>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</si>
  <si>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</si>
  <si>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</si>
  <si>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</si>
  <si>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</si>
  <si>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</si>
  <si>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</si>
  <si>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</si>
  <si>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</si>
  <si>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</si>
  <si>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</si>
  <si>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</si>
  <si>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</si>
  <si>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</si>
  <si>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</si>
  <si>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</si>
  <si>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</si>
  <si>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</si>
  <si>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</si>
  <si>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</si>
  <si>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</si>
  <si>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</si>
  <si>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</si>
  <si>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</si>
  <si>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</si>
  <si>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</si>
  <si>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</si>
  <si>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</si>
  <si>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</si>
  <si>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</si>
  <si>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</si>
  <si>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</si>
  <si>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</si>
  <si>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</si>
  <si>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</si>
  <si>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</si>
  <si>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</si>
  <si>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</si>
  <si>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</si>
  <si>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</si>
  <si>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</si>
  <si>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</si>
  <si>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</si>
  <si>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</si>
  <si>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</si>
  <si>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</si>
  <si>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</si>
  <si>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</si>
  <si>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</si>
  <si>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</si>
  <si>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</si>
  <si>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</si>
  <si>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</si>
  <si>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</si>
  <si>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</si>
  <si>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</si>
  <si>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</si>
  <si>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</si>
  <si>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</si>
  <si>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</si>
  <si>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</si>
  <si>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</si>
  <si>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</si>
  <si>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</si>
  <si>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</si>
  <si>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</si>
  <si>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</si>
  <si>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</si>
  <si>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</si>
  <si>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</si>
  <si>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</si>
  <si>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</si>
  <si>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</si>
  <si>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</si>
  <si>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</si>
  <si>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</si>
  <si>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</si>
  <si>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</si>
  <si>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</si>
  <si>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</si>
  <si>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</si>
  <si>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</si>
  <si>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</si>
  <si>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</si>
  <si>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</si>
  <si>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</si>
  <si>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</si>
  <si>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</si>
  <si>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</si>
  <si>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</si>
  <si>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</si>
  <si>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</si>
  <si>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</si>
  <si>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</si>
  <si>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</si>
  <si>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</si>
  <si>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</si>
  <si>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</si>
  <si>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</si>
  <si>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</si>
  <si>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</si>
  <si>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</si>
  <si>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</si>
  <si>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</si>
  <si>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</si>
  <si>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</si>
  <si>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</si>
  <si>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</si>
  <si>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</si>
  <si>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</si>
  <si>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</si>
  <si>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</si>
  <si>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</si>
  <si>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</si>
  <si>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</si>
  <si>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</si>
  <si>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</si>
  <si>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</si>
  <si>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</si>
  <si>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</si>
  <si>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</si>
  <si>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</si>
  <si>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</si>
  <si>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</si>
  <si>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</si>
  <si>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</si>
  <si>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</si>
  <si>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</si>
  <si>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</si>
  <si>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</si>
  <si>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</si>
  <si>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</si>
  <si>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</si>
  <si>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</si>
  <si>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</si>
  <si>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</si>
  <si>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</si>
  <si>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</si>
  <si>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</si>
  <si>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</si>
  <si>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</si>
  <si>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</si>
  <si>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</si>
  <si>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</si>
  <si>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</si>
  <si>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</si>
  <si>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</si>
  <si>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</si>
  <si>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</si>
  <si>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</si>
  <si>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</si>
  <si>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</si>
  <si>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</si>
  <si>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</si>
  <si>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</si>
  <si>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</si>
  <si>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</si>
  <si>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</si>
  <si>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</si>
  <si>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</si>
  <si>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</si>
  <si>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</si>
  <si>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</si>
  <si>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</si>
  <si>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</si>
  <si>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</si>
  <si>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</si>
  <si>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</si>
  <si>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</si>
  <si>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</si>
  <si>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</si>
  <si>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</si>
  <si>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</si>
  <si>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</si>
  <si>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</si>
  <si>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</si>
  <si>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</si>
  <si>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</si>
  <si>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</si>
  <si>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</si>
  <si>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</si>
  <si>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</si>
  <si>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</si>
  <si>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</si>
  <si>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</si>
  <si>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</si>
  <si>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</si>
  <si>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</si>
  <si>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</si>
  <si>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</si>
  <si>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</si>
  <si>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</si>
  <si>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</si>
  <si>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</si>
  <si>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</si>
  <si>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</si>
  <si>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</si>
  <si>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</si>
  <si>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</si>
  <si>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</si>
  <si>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</si>
  <si>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</si>
  <si>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</si>
  <si>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</si>
  <si>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</si>
  <si>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</si>
  <si>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</si>
  <si>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</si>
  <si>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</si>
  <si>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</si>
  <si>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</si>
  <si>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</si>
  <si>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</si>
  <si>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</si>
  <si>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</si>
  <si>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</si>
  <si>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</si>
  <si>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</si>
  <si>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</si>
  <si>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</si>
  <si>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</si>
  <si>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</si>
  <si>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</si>
  <si>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</si>
  <si>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</si>
  <si>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</si>
  <si>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</si>
  <si>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</si>
  <si>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</si>
  <si>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</si>
  <si>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</si>
  <si>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</si>
  <si>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</si>
  <si>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</si>
  <si>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</si>
  <si>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</si>
  <si>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</si>
  <si>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</si>
  <si>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</si>
  <si>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</si>
  <si>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</si>
  <si>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</si>
  <si>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</si>
  <si>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</si>
  <si>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</si>
  <si>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</si>
  <si>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</si>
  <si>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</si>
  <si>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</si>
  <si>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</si>
  <si>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</si>
  <si>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</si>
  <si>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</si>
  <si>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</si>
  <si>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</si>
  <si>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</si>
  <si>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</si>
  <si>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</si>
  <si>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</si>
  <si>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</si>
  <si>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</si>
  <si>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</si>
  <si>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</si>
  <si>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</si>
  <si>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</si>
  <si>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</si>
  <si>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</si>
  <si>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</si>
  <si>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</si>
  <si>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</si>
  <si>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</si>
  <si>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</si>
  <si>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</si>
  <si>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</si>
  <si>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</si>
  <si>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</si>
  <si>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</si>
  <si>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</si>
  <si>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</si>
  <si>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</si>
  <si>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</si>
  <si>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</si>
  <si>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</si>
  <si>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</si>
  <si>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</si>
  <si>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</si>
  <si>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</si>
  <si>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</si>
  <si>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</si>
  <si>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</si>
  <si>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</si>
  <si>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</si>
  <si>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</si>
  <si>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</si>
  <si>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</si>
  <si>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</si>
  <si>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</si>
  <si>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</si>
  <si>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</si>
  <si>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</si>
  <si>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</si>
  <si>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</si>
  <si>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</si>
  <si>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</si>
  <si>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</si>
  <si>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</si>
  <si>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</si>
  <si>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</si>
  <si>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</si>
  <si>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</si>
  <si>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</si>
  <si>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</si>
  <si>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</si>
  <si>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</si>
  <si>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</si>
  <si>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</si>
  <si>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</si>
  <si>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</si>
  <si>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</si>
  <si>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</si>
  <si>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</si>
  <si>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</si>
  <si>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</si>
  <si>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</si>
  <si>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</si>
  <si>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</si>
  <si>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</si>
  <si>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</si>
  <si>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</si>
  <si>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</si>
  <si>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</si>
  <si>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</si>
  <si>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</si>
  <si>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</si>
  <si>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</si>
  <si>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</si>
  <si>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</si>
  <si>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</si>
  <si>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</si>
  <si>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</si>
  <si>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</si>
  <si>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</si>
  <si>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</si>
  <si>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</si>
  <si>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</si>
  <si>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</si>
  <si>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</si>
  <si>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</si>
  <si>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</si>
  <si>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</si>
  <si>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</si>
  <si>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</si>
  <si>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</si>
  <si>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</si>
  <si>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</si>
  <si>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</si>
  <si>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</si>
  <si>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</si>
  <si>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</si>
  <si>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</si>
  <si>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</si>
  <si>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</si>
  <si>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</si>
  <si>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</si>
  <si>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</si>
  <si>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</si>
  <si>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</si>
  <si>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</si>
  <si>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</si>
  <si>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</si>
  <si>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</si>
  <si>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</si>
  <si>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</si>
  <si>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</si>
  <si>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</si>
  <si>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</si>
  <si>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</si>
  <si>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</si>
  <si>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</si>
  <si>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</si>
  <si>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</si>
  <si>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</si>
  <si>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</si>
  <si>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</si>
  <si>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</si>
  <si>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</si>
  <si>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</si>
  <si>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</si>
  <si>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</si>
  <si>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</si>
  <si>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</si>
  <si>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</si>
  <si>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</si>
  <si>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</si>
  <si>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</si>
  <si>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</si>
  <si>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</si>
  <si>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</si>
  <si>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</si>
  <si>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</si>
  <si>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</si>
  <si>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</si>
  <si>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</si>
  <si>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</si>
  <si>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</si>
  <si>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</si>
  <si>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</si>
  <si>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</si>
  <si>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</si>
  <si>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</si>
  <si>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</si>
  <si>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</si>
  <si>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</si>
  <si>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</si>
  <si>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</si>
  <si>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</si>
  <si>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</si>
  <si>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</si>
  <si>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</si>
  <si>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</si>
  <si>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</si>
  <si>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</si>
  <si>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</si>
  <si>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</si>
  <si>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</si>
  <si>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</si>
  <si>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</si>
  <si>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</si>
  <si>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</si>
  <si>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</si>
  <si>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</si>
  <si>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</si>
  <si>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</si>
  <si>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</si>
  <si>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</si>
  <si>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</si>
  <si>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</si>
  <si>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</si>
  <si>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</si>
  <si>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</si>
  <si>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</si>
  <si>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</si>
  <si>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</si>
  <si>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</si>
  <si>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</si>
  <si>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</si>
  <si>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</si>
  <si>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</si>
  <si>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</si>
  <si>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</si>
  <si>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</si>
  <si>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</si>
  <si>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</si>
  <si>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</si>
  <si>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</si>
  <si>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</si>
  <si>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</si>
  <si>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</si>
  <si>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</si>
  <si>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</si>
  <si>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</si>
  <si>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</si>
  <si>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</si>
  <si>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</si>
  <si>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</si>
  <si>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</si>
  <si>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</si>
  <si>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</si>
  <si>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</si>
  <si>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</si>
  <si>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</si>
  <si>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</si>
  <si>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</si>
  <si>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</si>
  <si>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</si>
  <si>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</si>
  <si>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</si>
  <si>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</si>
  <si>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</si>
  <si>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</si>
  <si>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</si>
  <si>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</si>
  <si>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</si>
  <si>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</si>
  <si>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</si>
  <si>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</si>
  <si>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</si>
  <si>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</si>
  <si>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</si>
  <si>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</si>
  <si>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</si>
  <si>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</si>
  <si>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</si>
  <si>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</si>
  <si>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</si>
  <si>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</si>
  <si>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</si>
  <si>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</si>
  <si>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</si>
  <si>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</si>
  <si>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</si>
  <si>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</si>
  <si>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</si>
  <si>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</si>
  <si>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</si>
  <si>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</si>
  <si>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</si>
  <si>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</si>
  <si>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</si>
  <si>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</si>
  <si>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</si>
  <si>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</si>
  <si>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</si>
  <si>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</si>
  <si>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</si>
  <si>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</si>
  <si>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</si>
  <si>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</si>
  <si>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</si>
  <si>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</si>
  <si>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</si>
  <si>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</si>
  <si>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</si>
  <si>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</si>
  <si>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</si>
  <si>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</si>
  <si>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</si>
  <si>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</si>
  <si>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</si>
  <si>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</si>
  <si>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</si>
  <si>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</si>
  <si>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</si>
  <si>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</si>
  <si>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</si>
  <si>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</si>
  <si>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</si>
  <si>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</si>
  <si>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</si>
  <si>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</si>
  <si>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</si>
  <si>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</si>
  <si>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</si>
  <si>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</si>
  <si>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</si>
  <si>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</si>
  <si>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</si>
  <si>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</si>
  <si>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</si>
  <si>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</si>
  <si>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</si>
  <si>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</si>
  <si>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</si>
  <si>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</si>
  <si>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</si>
  <si>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</si>
  <si>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</si>
  <si>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</si>
  <si>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</si>
  <si>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</si>
  <si>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</si>
  <si>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</si>
  <si>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</si>
  <si>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</si>
  <si>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</si>
  <si>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</si>
  <si>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</si>
  <si>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</si>
  <si>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</si>
  <si>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</si>
  <si>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</si>
  <si>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</si>
  <si>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</si>
  <si>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</si>
  <si>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</si>
  <si>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</si>
  <si>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</si>
  <si>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</si>
  <si>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</si>
  <si>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</si>
  <si>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</si>
  <si>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</si>
  <si>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</si>
  <si>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</si>
  <si>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</si>
  <si>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</si>
  <si>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</si>
  <si>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</si>
  <si>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</si>
  <si>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</si>
  <si>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</si>
  <si>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</si>
  <si>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</si>
  <si>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</si>
  <si>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</si>
  <si>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</si>
  <si>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</si>
  <si>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</si>
  <si>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</si>
  <si>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</si>
  <si>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</si>
  <si>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</si>
  <si>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</si>
  <si>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</si>
  <si>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</si>
  <si>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</si>
  <si>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</si>
  <si>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</si>
  <si>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</si>
  <si>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</si>
  <si>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</si>
  <si>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</si>
  <si>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</si>
  <si>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</si>
  <si>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</si>
  <si>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</si>
  <si>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</si>
  <si>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</si>
  <si>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</si>
  <si>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</si>
  <si>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</si>
  <si>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</si>
  <si>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</si>
  <si>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</si>
  <si>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</si>
  <si>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</si>
  <si>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</si>
  <si>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</si>
  <si>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</si>
  <si>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</si>
  <si>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</si>
  <si>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</si>
  <si>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</si>
  <si>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</si>
  <si>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</si>
  <si>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</si>
  <si>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</si>
  <si>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</si>
  <si>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</si>
  <si>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</si>
  <si>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</si>
  <si>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</si>
  <si>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</si>
  <si>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</si>
  <si>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</si>
  <si>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</si>
  <si>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</si>
  <si>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</si>
  <si>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</si>
  <si>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</si>
  <si>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</si>
  <si>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</si>
  <si>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</si>
  <si>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</si>
  <si>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</si>
  <si>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</si>
  <si>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</si>
  <si>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</si>
  <si>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</si>
  <si>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</si>
  <si>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</si>
  <si>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</si>
  <si>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</si>
  <si>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</si>
  <si>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</si>
  <si>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</si>
  <si>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</si>
  <si>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</si>
  <si>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</si>
  <si>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</si>
  <si>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</si>
  <si>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</si>
  <si>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</si>
  <si>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</si>
  <si>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</si>
  <si>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</si>
  <si>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</si>
  <si>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</si>
  <si>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</si>
  <si>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</si>
  <si>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</si>
  <si>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</si>
  <si>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</si>
  <si>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</si>
  <si>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</si>
  <si>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</si>
  <si>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</si>
  <si>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</si>
  <si>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</si>
  <si>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</si>
  <si>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</si>
  <si>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</si>
  <si>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</si>
  <si>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</si>
  <si>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</si>
  <si>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</si>
  <si>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</si>
  <si>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</si>
  <si>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</si>
  <si>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</si>
  <si>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</si>
  <si>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</si>
  <si>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</si>
  <si>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</si>
  <si>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</si>
  <si>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</si>
  <si>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</si>
  <si>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</si>
  <si>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</si>
  <si>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</si>
  <si>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</si>
  <si>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</si>
  <si>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</si>
  <si>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</si>
  <si>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</si>
  <si>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</si>
  <si>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</si>
  <si>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</si>
  <si>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</si>
  <si>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</si>
  <si>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</si>
  <si>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</si>
  <si>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</si>
  <si>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</si>
  <si>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</si>
  <si>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</si>
  <si>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</si>
  <si>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</si>
  <si>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</si>
  <si>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</si>
  <si>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</si>
  <si>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</si>
  <si>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</si>
  <si>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</si>
  <si>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</si>
  <si>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</si>
  <si>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</si>
  <si>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</si>
  <si>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</si>
  <si>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</si>
  <si>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</si>
  <si>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</si>
  <si>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</si>
  <si>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</si>
  <si>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</si>
  <si>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</si>
  <si>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</si>
  <si>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</si>
  <si>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</si>
  <si>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</si>
  <si>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</si>
  <si>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</si>
  <si>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</si>
  <si>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</si>
  <si>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</si>
  <si>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</si>
  <si>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</si>
  <si>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</si>
  <si>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</si>
  <si>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</si>
  <si>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</si>
  <si>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</si>
  <si>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</si>
  <si>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</si>
  <si>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</si>
  <si>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</si>
  <si>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</si>
  <si>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</si>
  <si>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</si>
  <si>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</si>
  <si>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</si>
  <si>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</si>
  <si>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</si>
  <si>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</si>
  <si>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</si>
  <si>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</si>
  <si>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</si>
  <si>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</si>
  <si>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</si>
  <si>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</si>
  <si>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</si>
  <si>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</si>
  <si>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</si>
  <si>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</si>
  <si>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</si>
  <si>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</si>
  <si>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</si>
  <si>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</si>
  <si>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</si>
  <si>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</si>
  <si>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</si>
  <si>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</si>
  <si>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</si>
  <si>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</si>
  <si>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</si>
  <si>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</si>
  <si>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</si>
  <si>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</si>
  <si>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</si>
  <si>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</si>
  <si>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</si>
  <si>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</si>
  <si>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</si>
  <si>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</si>
  <si>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</si>
  <si>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</si>
  <si>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</si>
  <si>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</si>
  <si>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</si>
  <si>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</si>
  <si>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</si>
  <si>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</si>
  <si>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</si>
  <si>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</si>
  <si>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</si>
  <si>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</si>
  <si>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</si>
  <si>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</si>
  <si>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</si>
  <si>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</si>
  <si>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</si>
  <si>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</si>
  <si>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</si>
  <si>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</si>
  <si>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</si>
  <si>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</si>
  <si>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</si>
  <si>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</si>
  <si>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</si>
  <si>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</si>
  <si>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</si>
  <si>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</si>
  <si>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</si>
  <si>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</si>
  <si>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</si>
  <si>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</si>
  <si>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</si>
  <si>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</si>
  <si>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</si>
  <si>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</si>
  <si>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</si>
  <si>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</si>
  <si>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</si>
  <si>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</si>
  <si>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</si>
  <si>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</si>
  <si>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</si>
  <si>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</si>
  <si>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</si>
  <si>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</si>
  <si>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</si>
  <si>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</si>
  <si>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</si>
  <si>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</si>
  <si>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</si>
  <si>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</si>
  <si>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</si>
  <si>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</si>
  <si>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</si>
  <si>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</si>
  <si>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</si>
  <si>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</si>
  <si>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</si>
  <si>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</si>
  <si>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</si>
  <si>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</si>
  <si>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</si>
  <si>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</si>
  <si>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</si>
  <si>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</si>
  <si>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</si>
  <si>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</si>
  <si>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</si>
  <si>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</si>
  <si>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</si>
  <si>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</si>
  <si>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</si>
  <si>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</si>
  <si>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</si>
  <si>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</si>
  <si>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</si>
  <si>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</si>
  <si>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</si>
  <si>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</si>
  <si>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</si>
  <si>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</si>
  <si>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</si>
  <si>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</si>
  <si>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</si>
  <si>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</si>
  <si>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</si>
  <si>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</si>
  <si>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</si>
  <si>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</si>
  <si>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</si>
  <si>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</si>
  <si>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</si>
  <si>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</si>
  <si>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</si>
  <si>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</si>
  <si>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</si>
  <si>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</si>
  <si>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</si>
  <si>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</si>
  <si>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</si>
  <si>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</si>
  <si>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</si>
  <si>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</si>
  <si>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</si>
  <si>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</si>
  <si>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</si>
  <si>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</si>
  <si>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</si>
  <si>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</si>
  <si>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</si>
  <si>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</si>
  <si>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</si>
  <si>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</si>
  <si>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</si>
  <si>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</si>
  <si>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</si>
  <si>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</si>
  <si>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</si>
  <si>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</si>
  <si>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</si>
  <si>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</si>
  <si>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</si>
  <si>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</si>
  <si>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</si>
  <si>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</si>
  <si>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</si>
  <si>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</si>
  <si>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</si>
  <si>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</si>
  <si>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</si>
  <si>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</si>
  <si>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</si>
  <si>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</si>
  <si>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</si>
  <si>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</si>
  <si>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</si>
  <si>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</si>
  <si>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</si>
  <si>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</si>
  <si>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</si>
  <si>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</si>
  <si>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</si>
  <si>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</si>
  <si>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</si>
  <si>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</si>
  <si>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</si>
  <si>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</si>
  <si>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</si>
  <si>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</si>
  <si>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</si>
  <si>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</si>
  <si>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</si>
  <si>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</si>
  <si>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</si>
  <si>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</si>
  <si>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</si>
  <si>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</si>
  <si>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</si>
  <si>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</si>
  <si>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</si>
  <si>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</si>
  <si>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</si>
  <si>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</si>
  <si>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</si>
  <si>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</si>
  <si>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</si>
  <si>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</si>
  <si>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</si>
  <si>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</si>
  <si>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</si>
  <si>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</si>
  <si>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</si>
  <si>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</si>
  <si>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</si>
  <si>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</si>
  <si>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</si>
  <si>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</si>
  <si>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</si>
  <si>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</si>
  <si>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</si>
  <si>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</si>
  <si>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</si>
  <si>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</si>
  <si>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</si>
  <si>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</si>
  <si>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</si>
  <si>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</si>
  <si>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</si>
  <si>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</si>
  <si>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</si>
  <si>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</si>
  <si>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</si>
  <si>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</si>
  <si>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</si>
  <si>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</si>
  <si>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</si>
  <si>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</si>
  <si>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</si>
  <si>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</si>
  <si>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</si>
  <si>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</si>
  <si>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</si>
  <si>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</si>
  <si>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</si>
  <si>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</si>
  <si>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</si>
  <si>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</si>
  <si>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</si>
  <si>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</si>
  <si>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</si>
  <si>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</si>
  <si>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</si>
  <si>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</si>
  <si>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</si>
  <si>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</si>
  <si>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</si>
  <si>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</si>
  <si>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</si>
  <si>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</si>
  <si>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</si>
  <si>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</si>
  <si>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</si>
  <si>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</si>
  <si>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</si>
  <si>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</si>
  <si>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</si>
  <si>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</si>
  <si>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</si>
  <si>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</si>
  <si>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</si>
  <si>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</si>
  <si>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</si>
  <si>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</si>
  <si>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</si>
  <si>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</si>
  <si>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</si>
  <si>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</si>
  <si>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</si>
  <si>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</si>
  <si>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</si>
  <si>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</si>
  <si>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</si>
  <si>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</si>
  <si>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</si>
  <si>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</si>
  <si>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</si>
  <si>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</si>
  <si>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</si>
  <si>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</si>
  <si>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</si>
  <si>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</si>
  <si>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</si>
  <si>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</si>
  <si>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</si>
  <si>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</si>
  <si>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</si>
  <si>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</si>
  <si>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</si>
  <si>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</si>
  <si>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</si>
  <si>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</si>
  <si>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</si>
  <si>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</si>
  <si>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</si>
  <si>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</si>
  <si>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</si>
  <si>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</si>
  <si>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</si>
  <si>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</si>
  <si>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</si>
  <si>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</si>
  <si>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</si>
  <si>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</si>
  <si>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</si>
  <si>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</si>
  <si>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</si>
  <si>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</si>
  <si>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</si>
  <si>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</si>
  <si>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</si>
  <si>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</si>
  <si>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</si>
  <si>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</si>
  <si>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</si>
  <si>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</si>
  <si>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</si>
  <si>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</si>
  <si>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</si>
  <si>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</si>
  <si>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</si>
  <si>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</si>
  <si>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</si>
  <si>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</si>
  <si>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</si>
  <si>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</si>
  <si>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</si>
  <si>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</si>
  <si>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</si>
  <si>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</si>
  <si>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</si>
  <si>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</si>
  <si>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</si>
  <si>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</si>
  <si>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</si>
  <si>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</si>
  <si>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</si>
  <si>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</si>
  <si>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</si>
  <si>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</si>
  <si>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</si>
  <si>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</si>
  <si>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</si>
  <si>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</si>
  <si>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</si>
  <si>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</si>
  <si>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</si>
  <si>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</si>
  <si>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</si>
  <si>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</si>
  <si>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</si>
  <si>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</si>
  <si>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</si>
  <si>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</si>
  <si>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</si>
  <si>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</si>
  <si>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</si>
  <si>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</si>
  <si>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</si>
  <si>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</si>
  <si>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</si>
  <si>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</si>
  <si>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</si>
  <si>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</si>
  <si>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</si>
  <si>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</si>
  <si>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</si>
  <si>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</si>
  <si>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</si>
  <si>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</si>
  <si>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</si>
  <si>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</si>
  <si>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</si>
  <si>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</si>
  <si>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</si>
  <si>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</si>
  <si>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</si>
  <si>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</si>
  <si>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</si>
  <si>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</si>
  <si>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</si>
  <si>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</si>
  <si>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</si>
  <si>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</si>
  <si>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</si>
  <si>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</si>
  <si>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</si>
  <si>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</si>
  <si>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</si>
  <si>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</si>
  <si>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</si>
  <si>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</si>
  <si>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</si>
  <si>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</si>
  <si>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</si>
  <si>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</si>
  <si>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</si>
  <si>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</si>
  <si>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</si>
  <si>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</si>
  <si>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</si>
  <si>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</si>
  <si>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</si>
  <si>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</si>
  <si>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</si>
  <si>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</si>
  <si>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</si>
  <si>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</si>
  <si>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</si>
  <si>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</si>
  <si>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</si>
  <si>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</si>
  <si>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</si>
  <si>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</si>
  <si>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</si>
  <si>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</si>
  <si>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</si>
  <si>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</si>
  <si>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</si>
  <si>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</si>
  <si>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</si>
  <si>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</si>
  <si>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</si>
  <si>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</si>
  <si>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</si>
  <si>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</si>
  <si>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</si>
  <si>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</si>
  <si>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</si>
  <si>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</si>
  <si>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</si>
  <si>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</si>
  <si>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</si>
  <si>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</si>
  <si>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</si>
  <si>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</si>
  <si>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</si>
  <si>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</si>
  <si>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</si>
  <si>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</si>
  <si>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</si>
  <si>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</si>
  <si>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</si>
  <si>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</si>
  <si>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</si>
  <si>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</si>
  <si>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</si>
  <si>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</si>
  <si>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</si>
  <si>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</si>
  <si>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</si>
  <si>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</si>
  <si>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</si>
  <si>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</si>
  <si>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</si>
  <si>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</si>
  <si>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</si>
  <si>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</si>
  <si>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</si>
  <si>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</si>
  <si>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</si>
  <si>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</si>
  <si>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</si>
  <si>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</si>
  <si>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</si>
  <si>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</si>
  <si>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</si>
  <si>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</si>
  <si>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</si>
  <si>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</si>
  <si>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</si>
  <si>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</si>
  <si>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</si>
  <si>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</si>
  <si>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</si>
  <si>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</si>
  <si>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</si>
  <si>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</si>
  <si>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</si>
  <si>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</si>
  <si>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</si>
  <si>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</si>
  <si>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</si>
  <si>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</si>
  <si>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</si>
  <si>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</si>
  <si>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</si>
  <si>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</si>
  <si>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</si>
  <si>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</si>
  <si>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</si>
  <si>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</si>
  <si>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</si>
  <si>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</si>
  <si>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</si>
  <si>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</si>
  <si>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</si>
  <si>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</si>
  <si>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</si>
  <si>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</si>
  <si>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</si>
  <si>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</si>
  <si>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</si>
  <si>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</si>
  <si>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</si>
  <si>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</si>
  <si>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</si>
  <si>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</si>
  <si>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</si>
  <si>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</si>
  <si>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</si>
  <si>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</si>
  <si>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</si>
  <si>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</si>
  <si>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</si>
  <si>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</si>
  <si>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</si>
  <si>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</si>
  <si>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</si>
  <si>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</si>
  <si>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</si>
  <si>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</si>
  <si>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</si>
  <si>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</si>
  <si>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</si>
  <si>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</si>
  <si>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</si>
  <si>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</si>
  <si>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</si>
  <si>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</si>
  <si>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</si>
  <si>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</si>
  <si>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</si>
  <si>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</si>
  <si>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</si>
  <si>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</si>
  <si>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</si>
  <si>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</si>
  <si>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</si>
  <si>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</si>
  <si>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</si>
  <si>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</si>
  <si>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</si>
  <si>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</si>
  <si>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</si>
  <si>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</si>
  <si>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</si>
  <si>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</si>
  <si>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</si>
  <si>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</si>
  <si>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</si>
  <si>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</si>
  <si>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</si>
  <si>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</si>
  <si>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</si>
  <si>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</si>
  <si>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</si>
  <si>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</si>
  <si>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</si>
  <si>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</si>
  <si>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</si>
  <si>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</si>
  <si>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</si>
  <si>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</si>
  <si>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</si>
  <si>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</si>
  <si>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</si>
  <si>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</si>
  <si>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</si>
  <si>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</si>
  <si>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</si>
  <si>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</si>
  <si>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</si>
  <si>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</si>
  <si>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</si>
  <si>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</si>
  <si>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</si>
  <si>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</si>
  <si>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</si>
  <si>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</si>
  <si>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</si>
  <si>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</si>
  <si>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</si>
  <si>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</si>
  <si>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</si>
  <si>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</si>
  <si>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</si>
  <si>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</si>
  <si>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</si>
  <si>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</si>
  <si>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</si>
  <si>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</si>
  <si>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</si>
  <si>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</si>
  <si>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</si>
  <si>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</si>
  <si>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</si>
  <si>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</si>
  <si>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</si>
  <si>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</si>
  <si>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</si>
  <si>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</si>
  <si>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</si>
  <si>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</si>
  <si>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</si>
  <si>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</si>
  <si>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</si>
  <si>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</si>
  <si>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</si>
  <si>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</si>
  <si>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</si>
  <si>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</si>
  <si>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</si>
  <si>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</si>
  <si>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</si>
  <si>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</si>
  <si>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</si>
  <si>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</si>
  <si>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</si>
  <si>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</si>
  <si>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</si>
  <si>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</si>
  <si>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</si>
  <si>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</si>
  <si>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</si>
  <si>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</si>
  <si>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</si>
  <si>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</si>
  <si>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</si>
  <si>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</si>
  <si>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</si>
  <si>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</si>
  <si>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</si>
  <si>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</si>
  <si>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</si>
  <si>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</si>
  <si>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</si>
  <si>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</si>
  <si>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</si>
  <si>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</si>
  <si>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</si>
  <si>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</si>
  <si>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</si>
  <si>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</si>
  <si>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</si>
  <si>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</si>
  <si>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</si>
  <si>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</si>
  <si>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</si>
  <si>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</si>
  <si>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</si>
  <si>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</si>
  <si>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</si>
  <si>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</si>
  <si>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</si>
  <si>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</si>
  <si>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</si>
  <si>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</si>
  <si>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</si>
  <si>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</si>
  <si>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</si>
  <si>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</si>
  <si>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</si>
  <si>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</si>
  <si>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</si>
  <si>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</si>
  <si>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</si>
  <si>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</si>
  <si>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</si>
  <si>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</si>
  <si>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</si>
  <si>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</si>
  <si>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</si>
  <si>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</si>
  <si>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</si>
  <si>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</si>
  <si>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</si>
  <si>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</si>
  <si>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</si>
  <si>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</si>
  <si>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</si>
  <si>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</si>
  <si>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</si>
  <si>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</si>
  <si>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</si>
  <si>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</si>
  <si>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</si>
  <si>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</si>
  <si>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</si>
  <si>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</si>
  <si>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</si>
  <si>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</si>
  <si>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</si>
  <si>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</si>
  <si>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</si>
  <si>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</si>
  <si>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</si>
  <si>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</si>
  <si>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</si>
  <si>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</si>
  <si>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</si>
  <si>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</si>
  <si>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</si>
  <si>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</si>
  <si>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</si>
  <si>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</si>
  <si>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</si>
  <si>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</si>
  <si>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</si>
  <si>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</si>
  <si>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</si>
  <si>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</si>
  <si>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</si>
  <si>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</si>
  <si>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</si>
  <si>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</si>
  <si>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</si>
  <si>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</si>
  <si>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</si>
  <si>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</si>
  <si>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</si>
  <si>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</si>
  <si>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</si>
  <si>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</si>
  <si>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</si>
  <si>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</si>
  <si>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</si>
  <si>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</si>
  <si>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</si>
  <si>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</si>
  <si>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</si>
  <si>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</si>
  <si>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</si>
  <si>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</si>
  <si>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</si>
  <si>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</si>
  <si>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</si>
  <si>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</si>
  <si>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</si>
  <si>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</si>
  <si>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</si>
  <si>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</si>
  <si>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</si>
  <si>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</si>
  <si>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</si>
  <si>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</si>
  <si>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</si>
  <si>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</si>
  <si>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</si>
  <si>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</si>
  <si>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</si>
  <si>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</si>
  <si>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</si>
  <si>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</si>
  <si>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</si>
  <si>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</si>
  <si>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</si>
  <si>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</si>
  <si>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</si>
  <si>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</si>
  <si>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</si>
  <si>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</si>
  <si>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</si>
  <si>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</si>
  <si>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</si>
  <si>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</si>
  <si>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</si>
  <si>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</si>
  <si>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</si>
  <si>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</si>
  <si>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</si>
  <si>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</si>
  <si>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</si>
  <si>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</si>
  <si>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</si>
  <si>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</si>
  <si>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</si>
  <si>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</si>
  <si>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</si>
  <si>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</si>
  <si>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</si>
  <si>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</si>
  <si>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</si>
  <si>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</si>
  <si>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</si>
  <si>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</si>
  <si>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</si>
  <si>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</si>
  <si>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</si>
  <si>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</si>
  <si>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</si>
  <si>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</si>
  <si>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</si>
  <si>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</si>
  <si>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</si>
  <si>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</si>
  <si>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</si>
  <si>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</si>
  <si>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</si>
  <si>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</si>
  <si>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</si>
  <si>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</si>
  <si>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</si>
  <si>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</si>
  <si>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</si>
  <si>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</si>
  <si>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</si>
  <si>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</si>
  <si>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</si>
  <si>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</si>
  <si>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</si>
  <si>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</si>
  <si>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</si>
  <si>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</si>
  <si>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</si>
  <si>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</si>
  <si>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</si>
  <si>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</si>
  <si>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</si>
  <si>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</si>
  <si>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</si>
  <si>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</si>
  <si>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</si>
  <si>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</si>
  <si>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</si>
  <si>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</si>
  <si>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</si>
  <si>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</si>
  <si>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</si>
  <si>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</si>
  <si>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</si>
  <si>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</si>
  <si>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</si>
  <si>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</si>
  <si>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</si>
  <si>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</si>
  <si>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</si>
  <si>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</si>
  <si>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</si>
  <si>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</si>
  <si>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</si>
  <si>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</si>
  <si>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</si>
  <si>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</si>
  <si>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</si>
  <si>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</si>
  <si>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</si>
  <si>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</si>
  <si>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</si>
  <si>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</si>
  <si>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</si>
  <si>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</si>
  <si>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</si>
  <si>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</si>
  <si>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</si>
  <si>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</si>
  <si>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</si>
  <si>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</si>
  <si>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</si>
  <si>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</si>
  <si>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</si>
  <si>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</si>
  <si>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</si>
  <si>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</si>
  <si>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</si>
  <si>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</si>
  <si>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</si>
  <si>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</si>
  <si>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</si>
  <si>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</si>
  <si>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</si>
  <si>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</si>
  <si>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</si>
  <si>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</si>
  <si>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</si>
  <si>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</si>
  <si>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</si>
  <si>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</si>
  <si>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</si>
  <si>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</si>
  <si>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</si>
  <si>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</si>
  <si>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</si>
  <si>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</si>
  <si>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</si>
  <si>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</si>
  <si>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</si>
  <si>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</si>
  <si>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</si>
  <si>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</si>
  <si>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</si>
  <si>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</si>
  <si>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</si>
  <si>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</si>
  <si>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</si>
  <si>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</si>
  <si>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</si>
  <si>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</si>
  <si>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</si>
  <si>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</si>
  <si>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</si>
  <si>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</si>
  <si>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</si>
  <si>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</si>
  <si>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</si>
  <si>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</si>
  <si>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</si>
  <si>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</si>
  <si>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</si>
  <si>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</si>
  <si>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</si>
  <si>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</si>
  <si>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</si>
  <si>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</si>
  <si>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</si>
  <si>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</si>
  <si>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</si>
  <si>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</si>
  <si>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</si>
  <si>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</si>
  <si>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</si>
  <si>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</si>
  <si>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</si>
  <si>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</si>
  <si>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</si>
  <si>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</si>
  <si>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</si>
  <si>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</si>
  <si>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</si>
  <si>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</si>
  <si>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</si>
  <si>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</si>
  <si>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</si>
  <si>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</si>
  <si>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</si>
  <si>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</si>
  <si>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</si>
  <si>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</si>
  <si>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</si>
  <si>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</si>
  <si>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</si>
  <si>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</si>
  <si>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</si>
  <si>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</si>
  <si>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</si>
  <si>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</si>
  <si>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</si>
  <si>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</si>
  <si>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</si>
  <si>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</si>
  <si>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</si>
  <si>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</si>
  <si>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</si>
  <si>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</si>
  <si>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</si>
  <si>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</si>
  <si>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</si>
  <si>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</si>
  <si>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</si>
  <si>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</si>
  <si>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</si>
  <si>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</si>
  <si>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</si>
  <si>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</si>
  <si>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</si>
  <si>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</si>
  <si>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</si>
  <si>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</si>
  <si>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</si>
  <si>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</si>
  <si>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</si>
  <si>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</si>
  <si>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</si>
  <si>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</si>
  <si>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</si>
  <si>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</si>
  <si>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</si>
  <si>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</si>
  <si>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</si>
  <si>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</si>
  <si>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</si>
  <si>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</si>
  <si>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</si>
  <si>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</si>
  <si>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</si>
  <si>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</si>
  <si>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</si>
  <si>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</si>
  <si>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</si>
  <si>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</si>
  <si>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</si>
  <si>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</si>
  <si>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</si>
  <si>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</si>
  <si>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</si>
  <si>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</si>
  <si>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</si>
  <si>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</si>
  <si>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</si>
  <si>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</si>
  <si>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</si>
  <si>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</si>
  <si>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</si>
  <si>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</si>
  <si>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</si>
  <si>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</si>
  <si>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</si>
  <si>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</si>
  <si>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</si>
  <si>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</si>
  <si>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</si>
  <si>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</si>
  <si>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</si>
  <si>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</si>
  <si>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</si>
  <si>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</si>
  <si>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</si>
  <si>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</si>
  <si>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</si>
  <si>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</si>
  <si>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</si>
  <si>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</si>
  <si>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</si>
  <si>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</si>
  <si>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</si>
  <si>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</si>
  <si>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</si>
  <si>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</si>
  <si>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</si>
  <si>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</si>
  <si>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</si>
  <si>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</si>
  <si>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</si>
  <si>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</si>
  <si>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</si>
  <si>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</si>
  <si>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</si>
  <si>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</si>
  <si>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</si>
  <si>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</si>
  <si>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</si>
  <si>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</si>
  <si>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</si>
  <si>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</si>
  <si>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</si>
  <si>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</si>
  <si>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</si>
  <si>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</si>
  <si>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</si>
  <si>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</si>
  <si>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</si>
  <si>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</si>
  <si>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</si>
  <si>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</si>
  <si>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</si>
  <si>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</si>
  <si>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</si>
  <si>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</si>
  <si>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</si>
  <si>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</si>
  <si>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</si>
  <si>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</si>
  <si>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</si>
  <si>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</si>
  <si>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</si>
  <si>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</si>
  <si>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</si>
  <si>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</si>
  <si>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</si>
  <si>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</si>
  <si>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</si>
  <si>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</si>
  <si>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</si>
  <si>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</si>
  <si>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</si>
  <si>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</si>
  <si>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</si>
  <si>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</si>
  <si>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</si>
  <si>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</si>
  <si>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</si>
  <si>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</si>
  <si>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</si>
  <si>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</si>
  <si>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</si>
  <si>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</si>
  <si>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</si>
  <si>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</si>
  <si>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</si>
  <si>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</si>
  <si>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</si>
  <si>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</si>
  <si>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</si>
  <si>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</si>
  <si>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</si>
  <si>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</si>
  <si>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</si>
  <si>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</si>
  <si>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</si>
  <si>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</si>
  <si>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</si>
  <si>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</si>
  <si>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</si>
  <si>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</si>
  <si>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</si>
  <si>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</si>
  <si>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</si>
  <si>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</si>
  <si>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</si>
  <si>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</si>
  <si>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</si>
  <si>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</si>
  <si>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</si>
  <si>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</si>
  <si>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</si>
  <si>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</si>
  <si>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</si>
  <si>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</si>
  <si>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</si>
  <si>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</si>
  <si>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</si>
  <si>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</si>
  <si>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</si>
  <si>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</si>
  <si>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</si>
  <si>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</si>
  <si>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</si>
  <si>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</si>
  <si>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</si>
  <si>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</si>
  <si>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</si>
  <si>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</si>
  <si>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</si>
  <si>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</si>
  <si>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</si>
  <si>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</si>
  <si>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</si>
  <si>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</si>
  <si>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</si>
  <si>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</si>
  <si>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</si>
  <si>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</si>
  <si>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</si>
  <si>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</si>
  <si>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</si>
  <si>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</si>
  <si>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</si>
  <si>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</si>
  <si>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</si>
  <si>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</si>
  <si>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</si>
  <si>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</si>
  <si>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</si>
  <si>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</si>
  <si>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</si>
  <si>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</si>
  <si>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</si>
  <si>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</si>
  <si>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</si>
  <si>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</si>
  <si>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</si>
  <si>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</si>
  <si>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</si>
  <si>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</si>
  <si>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</si>
  <si>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</si>
  <si>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</si>
  <si>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</si>
  <si>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</si>
  <si>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</si>
  <si>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</si>
  <si>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</si>
  <si>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</si>
  <si>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</si>
  <si>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</si>
  <si>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</si>
  <si>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</si>
  <si>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</si>
  <si>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</si>
  <si>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</si>
  <si>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</si>
  <si>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</si>
  <si>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</si>
  <si>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</si>
  <si>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</si>
  <si>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</si>
  <si>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</si>
  <si>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</si>
  <si>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</si>
  <si>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</si>
  <si>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</si>
  <si>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</si>
  <si>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</si>
  <si>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</si>
  <si>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*4（在原值处修改或清除）</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</si>
  <si>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</si>
  <si>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</si>
  <si>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</si>
  <si>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</si>
  <si>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</si>
  <si>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</si>
  <si>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</si>
  <si>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</si>
  <si>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</si>
  <si>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</si>
  <si>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</si>
  <si>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</si>
  <si>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</si>
  <si>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</si>
  <si>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</si>
  <si>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</si>
  <si>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</si>
  <si>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</si>
  <si>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</si>
  <si>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</si>
  <si>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</si>
  <si>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</si>
  <si>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</si>
  <si>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</si>
  <si>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</si>
  <si>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</si>
  <si>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</si>
  <si>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</si>
  <si>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</si>
  <si>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</si>
  <si>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</si>
  <si>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</si>
  <si>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</si>
  <si>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</si>
  <si>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</si>
  <si>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</si>
  <si>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</si>
  <si>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</si>
  <si>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</si>
  <si>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</si>
  <si>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</si>
  <si>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</si>
  <si>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</si>
  <si>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</si>
  <si>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</si>
  <si>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</si>
  <si>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</si>
  <si>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</si>
  <si>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</si>
  <si>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</si>
  <si>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</si>
  <si>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</si>
  <si>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</si>
  <si>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</si>
  <si>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</si>
  <si>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</si>
  <si>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</si>
  <si>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</si>
  <si>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</si>
  <si>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</si>
  <si>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</si>
  <si>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</si>
  <si>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</si>
  <si>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</si>
  <si>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</si>
  <si>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</si>
  <si>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</si>
  <si>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</si>
  <si>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</si>
  <si>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</si>
  <si>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</si>
  <si>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</si>
  <si>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</si>
  <si>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</si>
  <si>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</si>
  <si>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</si>
  <si>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</si>
  <si>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</si>
  <si>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</si>
  <si>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</si>
  <si>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</si>
  <si>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</si>
  <si>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</si>
  <si>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</si>
  <si>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</si>
  <si>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</si>
  <si>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</si>
  <si>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</si>
  <si>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</si>
  <si>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</si>
  <si>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</si>
  <si>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</si>
  <si>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</si>
  <si>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</si>
  <si>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</si>
  <si>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</si>
  <si>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</si>
  <si>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</si>
  <si>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</si>
  <si>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</si>
  <si>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</si>
  <si>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</si>
  <si>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</si>
  <si>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</si>
  <si>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</si>
  <si>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</si>
  <si>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</si>
  <si>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</si>
  <si>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</si>
  <si>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</si>
  <si>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</si>
  <si>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</si>
  <si>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</si>
  <si>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</si>
  <si>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</si>
  <si>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</si>
  <si>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</si>
  <si>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</si>
  <si>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</si>
  <si>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</si>
  <si>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</si>
  <si>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</si>
  <si>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</si>
  <si>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</si>
  <si>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</si>
  <si>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</si>
  <si>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</si>
  <si>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</si>
  <si>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</si>
  <si>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</si>
  <si>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</si>
  <si>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</si>
  <si>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</si>
  <si>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</si>
  <si>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</si>
  <si>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</si>
  <si>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</si>
  <si>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</si>
  <si>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</si>
  <si>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</si>
  <si>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</si>
  <si>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</si>
  <si>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</si>
  <si>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</si>
  <si>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</si>
  <si>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</si>
  <si>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</si>
  <si>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</si>
  <si>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</si>
  <si>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</si>
  <si>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</si>
  <si>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</si>
  <si>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</si>
  <si>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</si>
  <si>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</si>
  <si>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</si>
  <si>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</si>
  <si>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</si>
  <si>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</si>
  <si>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</si>
  <si>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</si>
  <si>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</si>
  <si>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</si>
  <si>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</si>
  <si>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</si>
  <si>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</si>
  <si>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</si>
  <si>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</si>
  <si>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</si>
  <si>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</si>
  <si>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</si>
  <si>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</si>
  <si>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</si>
  <si>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</si>
  <si>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</si>
  <si>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</si>
  <si>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</si>
  <si>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</si>
  <si>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</si>
  <si>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</si>
  <si>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</si>
  <si>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</si>
  <si>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</si>
  <si>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</si>
  <si>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</si>
  <si>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</si>
  <si>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</si>
  <si>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</si>
  <si>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</si>
  <si>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</si>
  <si>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</si>
  <si>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</si>
  <si>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</si>
  <si>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</si>
  <si>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</si>
  <si>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</si>
  <si>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</si>
  <si>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</si>
  <si>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</si>
  <si>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</si>
  <si>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</si>
  <si>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</si>
  <si>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</si>
  <si>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</si>
  <si>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</si>
  <si>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</si>
  <si>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</si>
  <si>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</si>
  <si>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</si>
  <si>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</si>
  <si>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</si>
  <si>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</si>
  <si>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</si>
  <si>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</si>
  <si>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</si>
  <si>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</si>
  <si>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</si>
  <si>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</si>
  <si>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</si>
  <si>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</si>
  <si>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</si>
  <si>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</si>
  <si>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</si>
  <si>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</si>
  <si>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</si>
  <si>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</si>
  <si>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</si>
  <si>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</si>
  <si>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</si>
  <si>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</si>
  <si>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</si>
  <si>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</si>
  <si>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</si>
  <si>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</si>
  <si>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</si>
  <si>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</si>
  <si>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</si>
  <si>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</si>
  <si>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</si>
  <si>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</si>
  <si>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</si>
  <si>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</si>
  <si>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</si>
  <si>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</si>
  <si>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</si>
  <si>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</si>
  <si>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</si>
  <si>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</si>
  <si>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</si>
  <si>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</si>
  <si>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</si>
  <si>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</si>
  <si>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</si>
  <si>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</si>
  <si>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</si>
  <si>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</si>
  <si>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</si>
  <si>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</si>
  <si>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</si>
  <si>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</si>
  <si>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</si>
  <si>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</si>
  <si>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</si>
  <si>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</si>
  <si>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</si>
  <si>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</si>
  <si>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</si>
  <si>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</si>
  <si>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</si>
  <si>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</si>
  <si>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</si>
  <si>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</si>
  <si>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</si>
  <si>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</si>
  <si>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</si>
  <si>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</si>
  <si>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</si>
  <si>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</si>
  <si>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</si>
  <si>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</si>
  <si>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</si>
  <si>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</si>
  <si>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</si>
  <si>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</si>
  <si>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</si>
  <si>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</si>
  <si>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</si>
  <si>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</si>
  <si>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</si>
  <si>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</si>
  <si>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</si>
  <si>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</si>
  <si>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</si>
  <si>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</si>
  <si>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</si>
  <si>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</si>
  <si>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</si>
  <si>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</si>
  <si>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</si>
  <si>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</si>
  <si>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</si>
  <si>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</si>
  <si>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</si>
  <si>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</si>
  <si>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</si>
  <si>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</si>
  <si>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</si>
  <si>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</si>
  <si>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</si>
  <si>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</si>
  <si>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</si>
  <si>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</si>
  <si>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</si>
  <si>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</si>
  <si>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</si>
  <si>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</si>
  <si>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</si>
  <si>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</si>
  <si>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</si>
  <si>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</si>
  <si>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</si>
  <si>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</si>
  <si>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</si>
  <si>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</si>
  <si>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</si>
  <si>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</si>
  <si>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</si>
  <si>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</si>
  <si>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</si>
  <si>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</si>
  <si>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</si>
  <si>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</si>
  <si>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</si>
  <si>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</si>
  <si>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</si>
  <si>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</si>
  <si>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</si>
  <si>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</si>
  <si>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</si>
  <si>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</si>
  <si>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</si>
  <si>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</si>
  <si>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</si>
  <si>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</si>
  <si>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</si>
  <si>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</si>
  <si>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</si>
  <si>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</si>
  <si>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</si>
  <si>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</si>
  <si>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</si>
  <si>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</si>
  <si>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</si>
  <si>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</si>
  <si>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</si>
  <si>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</si>
  <si>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</si>
  <si>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</si>
  <si>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</si>
  <si>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</si>
  <si>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</si>
  <si>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</si>
  <si>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</si>
  <si>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</si>
  <si>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</si>
  <si>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</si>
  <si>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</si>
  <si>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</si>
  <si>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</si>
  <si>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</si>
  <si>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</si>
  <si>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</si>
  <si>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</si>
  <si>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</si>
  <si>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</si>
  <si>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</si>
  <si>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</si>
  <si>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</si>
  <si>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</si>
  <si>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</si>
  <si>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</si>
  <si>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</si>
  <si>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</si>
  <si>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</si>
  <si>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</si>
  <si>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</si>
  <si>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</si>
  <si>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</si>
  <si>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</si>
  <si>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</si>
  <si>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</si>
  <si>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</si>
  <si>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</si>
  <si>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</si>
  <si>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</si>
  <si>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</si>
  <si>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</si>
  <si>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</si>
  <si>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</si>
  <si>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</si>
  <si>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</si>
  <si>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</si>
  <si>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</si>
  <si>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</si>
  <si>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</si>
  <si>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</si>
  <si>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</si>
  <si>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</si>
  <si>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</si>
  <si>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</si>
  <si>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</si>
  <si>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</si>
  <si>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</si>
  <si>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</si>
  <si>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</si>
  <si>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</si>
  <si>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</si>
  <si>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</si>
  <si>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</si>
  <si>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</si>
  <si>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</si>
  <si>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</si>
  <si>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</si>
  <si>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</si>
  <si>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</si>
  <si>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</si>
  <si>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</si>
  <si>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</si>
  <si>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</si>
  <si>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</si>
  <si>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</si>
  <si>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</si>
  <si>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</si>
  <si>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</si>
  <si>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</si>
  <si>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</si>
  <si>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</si>
  <si>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</si>
  <si>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</si>
  <si>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</si>
  <si>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</si>
  <si>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</si>
  <si>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</si>
  <si>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</si>
  <si>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</si>
  <si>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</si>
  <si>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</si>
  <si>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</si>
  <si>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</si>
  <si>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</si>
  <si>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</si>
  <si>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</si>
  <si>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</si>
  <si>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</si>
  <si>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</si>
  <si>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</si>
  <si>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</si>
  <si>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</si>
  <si>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</si>
  <si>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</si>
  <si>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</si>
  <si>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</si>
  <si>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</si>
  <si>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</si>
  <si>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</si>
  <si>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</si>
  <si>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</si>
  <si>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</si>
  <si>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</si>
  <si>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</si>
  <si>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</si>
  <si>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</si>
  <si>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</si>
  <si>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</si>
  <si>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</si>
  <si>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</si>
  <si>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</si>
  <si>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</si>
  <si>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</si>
  <si>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</si>
  <si>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</si>
  <si>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</si>
  <si>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</si>
  <si>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</si>
  <si>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</si>
  <si>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</si>
  <si>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</si>
  <si>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</si>
  <si>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</si>
  <si>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</si>
  <si>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</si>
  <si>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</si>
  <si>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</si>
  <si>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</si>
  <si>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</si>
  <si>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</si>
  <si>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</si>
  <si>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</si>
  <si>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</si>
  <si>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</si>
  <si>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</si>
  <si>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</si>
  <si>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</si>
  <si>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</si>
  <si>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</si>
  <si>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</si>
  <si>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</si>
  <si>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</si>
  <si>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</si>
  <si>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</si>
  <si>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</si>
  <si>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</si>
  <si>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</si>
  <si>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</si>
  <si>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</si>
  <si>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</si>
  <si>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</si>
  <si>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</si>
  <si>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</si>
  <si>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</si>
  <si>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</si>
  <si>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</si>
  <si>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</si>
  <si>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</si>
  <si>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</si>
  <si>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</si>
  <si>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</si>
  <si>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</si>
  <si>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</si>
  <si>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</si>
  <si>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</si>
  <si>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</si>
  <si>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</si>
  <si>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</si>
  <si>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</si>
  <si>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</si>
  <si>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</si>
  <si>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</si>
  <si>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</si>
  <si>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</si>
  <si>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</si>
  <si>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</si>
  <si>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</si>
  <si>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</si>
  <si>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</si>
  <si>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</si>
  <si>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</si>
  <si>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</si>
  <si>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</si>
  <si>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</si>
  <si>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</si>
  <si>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</si>
  <si>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</si>
  <si>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</si>
  <si>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</si>
  <si>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</si>
  <si>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</si>
  <si>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</si>
  <si>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</si>
  <si>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</si>
  <si>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</si>
  <si>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</si>
  <si>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</si>
  <si>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</si>
  <si>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</si>
  <si>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</si>
  <si>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</si>
  <si>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</si>
  <si>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</si>
  <si>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</si>
  <si>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</si>
  <si>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</si>
  <si>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</si>
  <si>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</si>
  <si>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</si>
  <si>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</si>
  <si>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</si>
  <si>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</si>
  <si>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</si>
  <si>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</si>
  <si>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</si>
  <si>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</si>
  <si>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</si>
  <si>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</si>
  <si>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</si>
  <si>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</si>
  <si>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</si>
  <si>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</si>
  <si>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</si>
  <si>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</si>
  <si>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</si>
  <si>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</si>
  <si>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</si>
  <si>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</si>
  <si>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</si>
  <si>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</si>
  <si>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</si>
  <si>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</si>
  <si>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</si>
  <si>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</si>
  <si>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</si>
  <si>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</si>
  <si>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</si>
  <si>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</si>
  <si>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</si>
  <si>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</si>
  <si>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</si>
  <si>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</si>
  <si>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</si>
  <si>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</si>
  <si>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</si>
  <si>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</si>
  <si>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</si>
  <si>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</si>
  <si>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</si>
  <si>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</si>
  <si>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</si>
  <si>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</si>
  <si>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</si>
  <si>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</si>
  <si>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</si>
  <si>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</si>
  <si>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</si>
  <si>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</si>
  <si>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</si>
  <si>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</si>
  <si>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</si>
  <si>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</si>
  <si>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</si>
  <si>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</si>
  <si>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</si>
  <si>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</si>
  <si>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</si>
  <si>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</si>
  <si>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</si>
  <si>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</si>
  <si>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</si>
  <si>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</si>
  <si>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</si>
  <si>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</si>
  <si>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</si>
  <si>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</si>
  <si>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</si>
  <si>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</si>
  <si>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</si>
  <si>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</si>
  <si>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</si>
  <si>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</si>
  <si>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</si>
  <si>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</si>
  <si>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</si>
  <si>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</si>
  <si>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</si>
  <si>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</si>
  <si>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</si>
  <si>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</si>
  <si>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</si>
  <si>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</si>
  <si>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</si>
  <si>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</si>
  <si>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</si>
  <si>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</si>
  <si>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</si>
  <si>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</si>
  <si>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</si>
  <si>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</si>
  <si>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</si>
  <si>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</si>
  <si>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</si>
  <si>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</si>
  <si>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</si>
  <si>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</si>
  <si>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</si>
  <si>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</si>
  <si>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</si>
  <si>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</si>
  <si>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</si>
  <si>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</si>
  <si>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</si>
  <si>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</si>
  <si>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</si>
  <si>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</si>
  <si>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</si>
  <si>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</si>
  <si>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</si>
  <si>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</si>
  <si>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</si>
  <si>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</si>
  <si>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</si>
  <si>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</si>
  <si>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</si>
  <si>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</si>
  <si>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</si>
  <si>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</si>
  <si>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</si>
  <si>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</si>
  <si>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</si>
  <si>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</si>
  <si>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</si>
  <si>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</si>
  <si>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</si>
  <si>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</si>
  <si>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</si>
  <si>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</si>
  <si>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</si>
  <si>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</si>
  <si>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</si>
  <si>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</si>
  <si>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</si>
  <si>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</si>
  <si>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</si>
  <si>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</si>
  <si>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</si>
  <si>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</si>
  <si>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</si>
  <si>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</si>
  <si>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</si>
  <si>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</si>
  <si>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</si>
  <si>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</si>
  <si>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</si>
  <si>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</si>
  <si>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</si>
  <si>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</si>
  <si>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</si>
  <si>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</si>
  <si>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</si>
  <si>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</si>
  <si>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</si>
  <si>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</si>
  <si>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</si>
  <si>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</si>
  <si>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</si>
  <si>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</si>
  <si>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</si>
  <si>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</si>
  <si>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</si>
  <si>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</si>
  <si>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</si>
  <si>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</si>
  <si>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</si>
  <si>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</si>
  <si>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</si>
  <si>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</si>
  <si>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</si>
  <si>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</si>
  <si>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</si>
  <si>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</si>
  <si>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</si>
  <si>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</si>
  <si>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</si>
  <si>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</si>
  <si>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</si>
  <si>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</si>
  <si>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</si>
  <si>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</si>
  <si>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</si>
  <si>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</si>
  <si>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</si>
  <si>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</si>
  <si>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</si>
  <si>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</si>
  <si>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</si>
  <si>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</si>
  <si>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</si>
  <si>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</si>
  <si>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</si>
  <si>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</si>
  <si>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</si>
  <si>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</si>
  <si>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</si>
  <si>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</si>
  <si>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</si>
  <si>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</si>
  <si>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</si>
  <si>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</si>
  <si>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</si>
  <si>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</si>
  <si>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</si>
  <si>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</si>
  <si>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</si>
  <si>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</si>
  <si>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</si>
  <si>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</si>
  <si>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</si>
  <si>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</si>
  <si>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</si>
  <si>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</si>
  <si>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</si>
  <si>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</si>
  <si>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</si>
  <si>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</si>
  <si>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</si>
  <si>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</si>
  <si>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</si>
  <si>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</si>
  <si>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</si>
  <si>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</si>
  <si>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</si>
  <si>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</si>
  <si>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</si>
  <si>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</si>
  <si>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</si>
  <si>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</si>
  <si>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</si>
  <si>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</si>
  <si>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</si>
  <si>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</si>
  <si>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</si>
  <si>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</si>
  <si>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</si>
  <si>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</si>
  <si>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</si>
  <si>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</si>
  <si>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</si>
  <si>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</si>
  <si>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</si>
  <si>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</si>
  <si>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</si>
  <si>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</si>
  <si>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</si>
  <si>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</si>
  <si>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</si>
  <si>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</si>
  <si>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</si>
  <si>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</si>
  <si>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</si>
  <si>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</si>
  <si>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</si>
  <si>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</si>
  <si>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</si>
  <si>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</si>
  <si>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</si>
  <si>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</si>
  <si>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</si>
  <si>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</si>
  <si>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</si>
  <si>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</si>
  <si>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</si>
  <si>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</si>
  <si>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</si>
  <si>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</si>
  <si>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</si>
  <si>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</si>
  <si>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</si>
  <si>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</si>
  <si>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</si>
  <si>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</si>
  <si>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</si>
  <si>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</si>
  <si>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</si>
  <si>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</si>
  <si>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</si>
  <si>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</si>
  <si>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</si>
  <si>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</si>
  <si>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</si>
  <si>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</si>
  <si>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</si>
  <si>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</si>
  <si>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</si>
  <si>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</si>
  <si>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</si>
  <si>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</si>
  <si>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</si>
  <si>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</si>
  <si>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</si>
  <si>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</si>
  <si>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</si>
  <si>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</si>
  <si>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</si>
  <si>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</si>
  <si>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</si>
  <si>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</si>
  <si>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</si>
  <si>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</si>
  <si>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</si>
  <si>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</si>
  <si>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</si>
  <si>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</si>
  <si>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</si>
  <si>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</si>
  <si>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</si>
  <si>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</si>
  <si>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</si>
  <si>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</si>
  <si>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</si>
  <si>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</si>
  <si>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</si>
  <si>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</si>
  <si>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</si>
  <si>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</si>
  <si>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</si>
  <si>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</si>
  <si>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</si>
  <si>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</si>
  <si>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</si>
  <si>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</si>
  <si>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</si>
  <si>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</si>
  <si>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</si>
  <si>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</si>
  <si>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</si>
  <si>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</si>
  <si>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</si>
  <si>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</si>
  <si>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</si>
  <si>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</si>
  <si>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</si>
  <si>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</si>
  <si>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</si>
  <si>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</si>
  <si>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</si>
  <si>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</si>
  <si>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</si>
  <si>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</si>
  <si>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</si>
  <si>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</si>
  <si>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</si>
  <si>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</si>
  <si>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</si>
  <si>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</si>
  <si>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</si>
  <si>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</si>
  <si>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</si>
  <si>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</si>
  <si>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</si>
  <si>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</si>
  <si>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</si>
  <si>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</si>
  <si>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</si>
  <si>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</si>
  <si>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</si>
  <si>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</si>
  <si>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</si>
  <si>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</si>
  <si>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</si>
  <si>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</si>
  <si>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</si>
  <si>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</si>
  <si>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</si>
  <si>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</si>
  <si>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</si>
  <si>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</si>
  <si>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</si>
  <si>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</si>
  <si>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</si>
  <si>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</si>
  <si>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</si>
  <si>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</si>
  <si>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</si>
  <si>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</si>
  <si>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</si>
  <si>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</si>
  <si>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</si>
  <si>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</si>
  <si>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</si>
  <si>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</si>
  <si>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</si>
  <si>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</si>
  <si>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</si>
  <si>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</si>
  <si>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</si>
  <si>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</si>
  <si>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</si>
  <si>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</si>
  <si>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</si>
  <si>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</si>
  <si>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</si>
  <si>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</si>
  <si>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</si>
  <si>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</si>
  <si>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</si>
  <si>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</si>
  <si>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</si>
  <si>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</si>
  <si>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</si>
  <si>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</si>
  <si>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</si>
  <si>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</si>
  <si>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</si>
  <si>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</si>
  <si>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</si>
  <si>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</si>
  <si>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</si>
  <si>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</si>
  <si>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</si>
  <si>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</si>
  <si>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</si>
  <si>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</si>
  <si>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</si>
  <si>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</si>
  <si>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</si>
  <si>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</si>
  <si>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</si>
  <si>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</si>
  <si>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</si>
  <si>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</si>
  <si>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</si>
  <si>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</si>
  <si>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</si>
  <si>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</si>
  <si>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</si>
  <si>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</si>
  <si>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</si>
  <si>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</si>
  <si>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</si>
  <si>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</si>
  <si>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</si>
  <si>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</si>
  <si>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</si>
  <si>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</si>
  <si>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</si>
  <si>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</si>
  <si>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</si>
  <si>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</si>
  <si>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</si>
  <si>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</si>
  <si>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</si>
  <si>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</si>
  <si>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</si>
  <si>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</si>
  <si>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</si>
  <si>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</si>
  <si>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</si>
  <si>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</si>
  <si>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</si>
  <si>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</si>
  <si>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</si>
  <si>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</si>
  <si>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</si>
  <si>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</si>
  <si>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</si>
  <si>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</si>
  <si>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</si>
  <si>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</si>
  <si>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</si>
  <si>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</si>
  <si>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</si>
  <si>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</si>
  <si>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</si>
  <si>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</si>
  <si>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</si>
  <si>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</si>
  <si>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</si>
  <si>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</si>
  <si>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</si>
  <si>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</si>
  <si>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</si>
  <si>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</si>
  <si>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</si>
  <si>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</si>
  <si>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</si>
  <si>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</si>
  <si>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</si>
  <si>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</si>
  <si>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</si>
  <si>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</si>
  <si>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</si>
  <si>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</si>
  <si>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</si>
  <si>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</si>
  <si>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</si>
  <si>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</si>
  <si>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</si>
  <si>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</si>
  <si>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</si>
  <si>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</si>
  <si>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</si>
  <si>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</si>
  <si>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</si>
  <si>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</si>
  <si>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</si>
  <si>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</si>
  <si>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</si>
  <si>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</si>
  <si>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</si>
  <si>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</si>
  <si>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</si>
  <si>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</si>
  <si>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</si>
  <si>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</si>
  <si>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</si>
  <si>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</si>
  <si>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</si>
  <si>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</si>
  <si>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</si>
  <si>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</si>
  <si>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</si>
  <si>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</si>
  <si>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</si>
  <si>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</si>
  <si>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</si>
  <si>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</si>
  <si>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</si>
  <si>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</si>
  <si>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</si>
  <si>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</si>
  <si>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</si>
  <si>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</si>
  <si>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</si>
  <si>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</si>
  <si>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</si>
  <si>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</si>
  <si>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</si>
  <si>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</si>
  <si>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</si>
  <si>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</si>
  <si>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</si>
  <si>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</si>
  <si>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</si>
  <si>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</si>
  <si>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</si>
  <si>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</si>
  <si>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</si>
  <si>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</si>
  <si>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</si>
  <si>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</si>
  <si>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</si>
  <si>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</si>
  <si>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</si>
  <si>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</si>
  <si>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</si>
  <si>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</si>
  <si>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</si>
  <si>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</si>
  <si>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</si>
  <si>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</si>
  <si>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</si>
  <si>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</si>
  <si>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</si>
  <si>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</si>
  <si>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</si>
  <si>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</si>
  <si>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</si>
  <si>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</si>
  <si>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</si>
  <si>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</si>
  <si>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</si>
  <si>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</si>
  <si>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</si>
  <si>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</si>
  <si>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</si>
  <si>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</si>
  <si>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</si>
  <si>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</si>
  <si>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</si>
  <si>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</si>
  <si>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</si>
  <si>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</si>
  <si>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</si>
  <si>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</si>
  <si>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</si>
  <si>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</si>
  <si>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</si>
  <si>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</si>
  <si>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</si>
  <si>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</si>
  <si>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</si>
  <si>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</si>
  <si>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</si>
  <si>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</si>
  <si>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</si>
  <si>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</si>
  <si>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</si>
  <si>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</si>
  <si>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</si>
  <si>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</si>
  <si>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</si>
  <si>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</si>
  <si>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</si>
  <si>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</si>
  <si>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</si>
  <si>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</si>
  <si>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</si>
  <si>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</si>
  <si>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</si>
  <si>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</si>
  <si>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</si>
  <si>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</si>
  <si>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</si>
  <si>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</si>
  <si>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</si>
  <si>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</si>
  <si>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</si>
  <si>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</si>
  <si>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</si>
  <si>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</si>
  <si>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</si>
  <si>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</si>
  <si>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</si>
  <si>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</si>
  <si>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</si>
  <si>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</si>
  <si>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</si>
  <si>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</si>
  <si>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</si>
  <si>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</si>
  <si>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</si>
  <si>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</si>
  <si>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</si>
  <si>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</si>
  <si>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</si>
  <si>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</si>
  <si>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</si>
  <si>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</si>
  <si>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</si>
  <si>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</si>
  <si>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</si>
  <si>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</si>
  <si>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</si>
  <si>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</si>
  <si>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</si>
  <si>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</si>
  <si>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</si>
  <si>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</si>
  <si>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</si>
  <si>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</si>
  <si>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</si>
  <si>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</si>
  <si>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</si>
  <si>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</si>
  <si>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</si>
  <si>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</si>
  <si>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</si>
  <si>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</si>
  <si>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</si>
  <si>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</si>
  <si>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</si>
  <si>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</si>
  <si>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</si>
  <si>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</si>
  <si>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</si>
  <si>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</si>
  <si>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</si>
  <si>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</si>
  <si>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</si>
  <si>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</si>
  <si>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</si>
  <si>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</si>
  <si>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</si>
  <si>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</si>
  <si>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</si>
  <si>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</si>
  <si>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</si>
  <si>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</si>
  <si>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</si>
  <si>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</si>
  <si>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</si>
  <si>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</si>
  <si>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</si>
  <si>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</si>
  <si>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</si>
  <si>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</si>
  <si>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</si>
  <si>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</si>
  <si>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</si>
  <si>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</si>
  <si>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</si>
  <si>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</si>
  <si>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</si>
  <si>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</si>
  <si>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</si>
  <si>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</si>
  <si>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</si>
  <si>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</si>
  <si>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</si>
  <si>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</si>
  <si>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</si>
  <si>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</si>
  <si>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</si>
  <si>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</si>
  <si>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</si>
  <si>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</si>
  <si>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</si>
  <si>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</si>
  <si>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</si>
  <si>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</si>
  <si>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</si>
  <si>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</si>
  <si>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</si>
  <si>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</si>
  <si>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</si>
  <si>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</si>
  <si>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</si>
  <si>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</si>
  <si>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</si>
  <si>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</si>
  <si>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</si>
  <si>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</si>
  <si>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</si>
  <si>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</si>
  <si>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</si>
  <si>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</si>
  <si>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</si>
  <si>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</si>
  <si>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</si>
  <si>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</si>
  <si>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</si>
  <si>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</si>
  <si>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</si>
  <si>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</si>
  <si>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</si>
  <si>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</si>
  <si>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</si>
  <si>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</si>
  <si>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</si>
  <si>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</si>
  <si>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</si>
  <si>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</si>
  <si>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</si>
  <si>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</si>
  <si>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</si>
  <si>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</si>
  <si>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</si>
  <si>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</si>
  <si>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</si>
  <si>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</si>
  <si>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</si>
  <si>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</si>
  <si>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</si>
  <si>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</si>
  <si>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</si>
  <si>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</si>
  <si>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</si>
  <si>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</si>
  <si>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</si>
  <si>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</si>
  <si>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</si>
  <si>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</si>
  <si>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</si>
  <si>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</si>
  <si>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</si>
  <si>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</si>
  <si>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</si>
  <si>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</si>
  <si>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</si>
  <si>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</si>
  <si>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</si>
  <si>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</si>
  <si>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</si>
  <si>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</si>
  <si>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</si>
  <si>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</si>
  <si>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</si>
  <si>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</si>
  <si>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</si>
  <si>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</si>
  <si>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</si>
  <si>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</si>
  <si>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</si>
  <si>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</si>
  <si>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</si>
  <si>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</si>
  <si>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</si>
  <si>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</si>
  <si>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</si>
  <si>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</si>
  <si>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</si>
  <si>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</si>
  <si>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</si>
  <si>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</si>
  <si>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</si>
  <si>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</si>
  <si>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</si>
  <si>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</si>
  <si>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</si>
  <si>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</si>
  <si>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</si>
  <si>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</si>
  <si>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</si>
  <si>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</si>
  <si>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</si>
  <si>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</si>
  <si>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</si>
  <si>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</si>
  <si>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</si>
  <si>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</si>
  <si>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</si>
  <si>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</si>
  <si>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</si>
  <si>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</si>
  <si>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</si>
  <si>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</si>
  <si>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</si>
  <si>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</si>
  <si>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</si>
  <si>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</si>
  <si>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</si>
  <si>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</si>
  <si>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</si>
  <si>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</si>
  <si>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</si>
  <si>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</si>
  <si>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</si>
  <si>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</si>
  <si>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</si>
  <si>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</si>
  <si>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</si>
  <si>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</si>
  <si>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</si>
  <si>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</si>
  <si>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</si>
  <si>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</si>
  <si>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</si>
  <si>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</si>
  <si>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</si>
  <si>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</si>
  <si>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</si>
  <si>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</si>
  <si>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</si>
  <si>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</si>
  <si>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</si>
  <si>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</si>
  <si>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</si>
  <si>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</si>
  <si>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</si>
  <si>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</si>
  <si>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</si>
  <si>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</si>
  <si>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</si>
  <si>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</si>
  <si>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</si>
  <si>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</si>
  <si>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</si>
  <si>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</si>
  <si>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</si>
  <si>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</si>
  <si>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</si>
  <si>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</si>
  <si>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</si>
  <si>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</si>
  <si>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</si>
  <si>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</si>
  <si>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</si>
  <si>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</si>
  <si>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</si>
  <si>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</si>
  <si>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</si>
  <si>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</si>
  <si>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</si>
  <si>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</si>
  <si>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</si>
  <si>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</si>
  <si>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</si>
  <si>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</si>
  <si>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</si>
  <si>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</si>
  <si>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</si>
  <si>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</si>
  <si>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</si>
  <si>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</si>
  <si>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</si>
  <si>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</si>
  <si>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</si>
  <si>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</si>
  <si>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</si>
  <si>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</si>
  <si>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</si>
  <si>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</si>
  <si>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</si>
  <si>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</si>
  <si>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</si>
  <si>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120_</t>
  </si>
  <si>
    <t>2019年度</t>
    <phoneticPr fontId="163" type="noConversion"/>
  </si>
  <si>
    <t>2018年度</t>
    <phoneticPr fontId="163" type="noConversion"/>
  </si>
  <si>
    <t>余江天骏</t>
  </si>
  <si>
    <t>余江县天骏投资管理有限公司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</si>
  <si>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</si>
  <si>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</si>
  <si>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</si>
  <si>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</si>
  <si>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</si>
  <si>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</si>
  <si>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</si>
  <si>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</si>
  <si>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</si>
  <si>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</si>
  <si>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</si>
  <si>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</si>
  <si>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</si>
  <si>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</si>
  <si>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</si>
  <si>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</si>
  <si>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</si>
  <si>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</si>
  <si>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</si>
  <si>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</si>
  <si>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</si>
  <si>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</si>
  <si>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</si>
  <si>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</si>
  <si>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</si>
  <si>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</si>
  <si>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</si>
  <si>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</si>
  <si>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</si>
  <si>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</si>
  <si>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</si>
  <si>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</si>
  <si>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</si>
  <si>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</si>
  <si>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</si>
  <si>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</si>
  <si>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</si>
  <si>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</si>
  <si>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</si>
  <si>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</si>
  <si>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</si>
  <si>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</si>
  <si>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</si>
  <si>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</si>
  <si>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</si>
  <si>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</si>
  <si>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</si>
  <si>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</si>
  <si>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</si>
  <si>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</si>
  <si>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</si>
  <si>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</si>
  <si>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</si>
  <si>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</si>
  <si>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</si>
  <si>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</si>
  <si>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</si>
  <si>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</si>
  <si>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</si>
  <si>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</si>
  <si>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</si>
  <si>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</si>
  <si>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</si>
  <si>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</si>
  <si>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</si>
  <si>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</si>
  <si>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</si>
  <si>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</si>
  <si>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</si>
  <si>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</si>
  <si>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</si>
  <si>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</si>
  <si>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</si>
  <si>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</si>
  <si>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</si>
  <si>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</si>
  <si>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</si>
  <si>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</si>
  <si>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</si>
  <si>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</si>
  <si>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</si>
  <si>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</si>
  <si>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</si>
  <si>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</si>
  <si>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</si>
  <si>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</si>
  <si>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</si>
  <si>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</si>
  <si>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</si>
  <si>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</si>
  <si>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</si>
  <si>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</si>
  <si>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</si>
  <si>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</si>
  <si>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</si>
  <si>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</si>
  <si>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</si>
  <si>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</si>
  <si>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</si>
  <si>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</si>
  <si>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</si>
  <si>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</si>
  <si>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</si>
  <si>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</si>
  <si>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</si>
  <si>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</si>
  <si>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</si>
  <si>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</si>
  <si>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</si>
  <si>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</si>
  <si>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</si>
  <si>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</si>
  <si>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</si>
  <si>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</si>
  <si>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</si>
  <si>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</si>
  <si>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</si>
  <si>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</si>
  <si>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</si>
  <si>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</si>
  <si>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</si>
  <si>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</si>
  <si>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</si>
  <si>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</si>
  <si>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</si>
  <si>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</si>
  <si>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</si>
  <si>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</si>
  <si>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</si>
  <si>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</si>
  <si>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</si>
  <si>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</si>
  <si>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</si>
  <si>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</si>
  <si>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</si>
  <si>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</si>
  <si>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</si>
  <si>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</si>
  <si>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</si>
  <si>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</si>
  <si>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</si>
  <si>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</si>
  <si>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</si>
  <si>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</si>
  <si>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</si>
  <si>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</si>
  <si>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</si>
  <si>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</si>
  <si>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</si>
  <si>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</si>
  <si>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</si>
  <si>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</si>
  <si>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</si>
  <si>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</si>
  <si>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</si>
  <si>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</si>
  <si>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</si>
  <si>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</si>
  <si>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</si>
  <si>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</si>
  <si>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合并范围内关联方往来款</t>
    <phoneticPr fontId="163" type="noConversion"/>
  </si>
  <si>
    <t>中介机构服务费</t>
    <phoneticPr fontId="163" type="noConversion"/>
  </si>
  <si>
    <t>办公费</t>
    <phoneticPr fontId="163" type="noConversion"/>
  </si>
  <si>
    <t>手续费</t>
    <phoneticPr fontId="163" type="noConversion"/>
  </si>
  <si>
    <t>付现费用</t>
    <phoneticPr fontId="163" type="noConversion"/>
  </si>
  <si>
    <t>利息收入</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</si>
</sst>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5">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cellStyleXfs>
  <cellXfs count="3363">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177" fontId="0" fillId="2" borderId="0" xfId="0" applyNumberFormat="1" applyFill="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177" fontId="0" fillId="6" borderId="0" xfId="0" applyNumberFormat="1" applyFill="1" applyProtection="1">
      <alignment vertical="center"/>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09765625" defaultRowHeight="13"/>
  <cols>
    <col min="1" max="1" width="9.09765625" style="2791"/>
    <col min="2" max="2" width="9.296875" style="2791" customWidth="1"/>
    <col min="3" max="3" width="29.09765625" style="2791" customWidth="1"/>
    <col min="4" max="4" width="9.09765625" style="2791"/>
    <col min="5" max="12" width="10.3984375" style="2791" customWidth="1"/>
    <col min="13" max="14" width="9.09765625" style="2791"/>
    <col min="15" max="15" width="13.09765625" style="2791" customWidth="1"/>
    <col min="16" max="19" width="9.09765625" style="2791"/>
    <col min="20" max="20" width="14.09765625" style="2791" customWidth="1"/>
    <col min="21" max="16384" width="9.09765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5650</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6420</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5651</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5652</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6614</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6658</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6650</v>
      </c>
      <c r="B13" s="2793">
        <v>1125</v>
      </c>
      <c r="C13" s="2793" t="s">
        <v>162</v>
      </c>
      <c r="D13" s="2793">
        <v>1</v>
      </c>
      <c r="E13" s="2793"/>
      <c r="F13" s="2793" t="s">
        <v>5653</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6608</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6421</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6421</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5654</v>
      </c>
      <c r="I16" s="2793">
        <v>1212</v>
      </c>
      <c r="J16" s="2793" t="s">
        <v>84</v>
      </c>
      <c r="M16" s="2793" t="s">
        <v>201</v>
      </c>
      <c r="N16" s="2794"/>
      <c r="O16" s="2795">
        <v>1221</v>
      </c>
      <c r="P16" s="2796" t="s">
        <v>225</v>
      </c>
      <c r="Q16" s="2796" t="s">
        <v>226</v>
      </c>
      <c r="R16" s="2791">
        <v>7196</v>
      </c>
      <c r="S16" s="2798" t="s">
        <v>6118</v>
      </c>
      <c r="T16" s="2798" t="s">
        <v>6119</v>
      </c>
      <c r="U16" s="2798" t="s">
        <v>6422</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5655</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5656</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5586</v>
      </c>
      <c r="T21" s="2798" t="s">
        <v>5587</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5657</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5658</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6619</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6621</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6423</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5659</v>
      </c>
      <c r="G26" s="2793" t="s">
        <v>247</v>
      </c>
      <c r="H26" s="2793"/>
      <c r="I26" s="2793">
        <v>1496</v>
      </c>
      <c r="J26" s="2793" t="s">
        <v>84</v>
      </c>
      <c r="M26" s="2793" t="s">
        <v>319</v>
      </c>
      <c r="N26" s="2794"/>
      <c r="O26" s="2795">
        <v>1400.1405999999999</v>
      </c>
      <c r="P26" s="2796" t="s">
        <v>314</v>
      </c>
      <c r="Q26" s="2796" t="s">
        <v>315</v>
      </c>
      <c r="R26" s="2791">
        <v>7309</v>
      </c>
      <c r="S26" s="2798" t="s">
        <v>302</v>
      </c>
      <c r="T26" s="2798" t="s">
        <v>6424</v>
      </c>
      <c r="U26" s="2798" t="s">
        <v>6421</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6622</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6425</v>
      </c>
      <c r="U28" s="2798" t="s">
        <v>5999</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5660</v>
      </c>
      <c r="D29" s="2793">
        <v>1</v>
      </c>
      <c r="E29" s="2793" t="s">
        <v>102</v>
      </c>
      <c r="F29" s="2793"/>
      <c r="G29" s="2793" t="s">
        <v>5660</v>
      </c>
      <c r="H29" s="2793"/>
      <c r="I29" s="2793">
        <v>1600</v>
      </c>
      <c r="J29" s="2793" t="s">
        <v>84</v>
      </c>
      <c r="M29" s="2793" t="s">
        <v>339</v>
      </c>
      <c r="N29" s="2794"/>
      <c r="O29" s="2795">
        <v>1400.1411000000001</v>
      </c>
      <c r="P29" s="2796" t="s">
        <v>333</v>
      </c>
      <c r="Q29" s="2796" t="s">
        <v>334</v>
      </c>
      <c r="R29" s="2791">
        <v>7016</v>
      </c>
      <c r="S29" s="2798" t="s">
        <v>328</v>
      </c>
      <c r="T29" s="2798" t="s">
        <v>5112</v>
      </c>
      <c r="U29" s="2798" t="s">
        <v>5999</v>
      </c>
      <c r="V29" s="2798">
        <v>1</v>
      </c>
      <c r="W29" s="2798">
        <v>1122</v>
      </c>
      <c r="X29" s="2798">
        <v>2</v>
      </c>
      <c r="Y29" s="2795" t="s">
        <v>6623</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5661</v>
      </c>
      <c r="G30" s="2793" t="s">
        <v>274</v>
      </c>
      <c r="H30" s="2793" t="s">
        <v>274</v>
      </c>
      <c r="I30" s="2793">
        <v>1505</v>
      </c>
      <c r="J30" s="2793" t="s">
        <v>84</v>
      </c>
      <c r="M30" s="2793" t="s">
        <v>346</v>
      </c>
      <c r="N30" s="2794"/>
      <c r="O30" s="2795">
        <v>1400.1421</v>
      </c>
      <c r="P30" s="2796" t="s">
        <v>340</v>
      </c>
      <c r="Q30" s="2796" t="s">
        <v>341</v>
      </c>
      <c r="R30" s="2791">
        <v>7021</v>
      </c>
      <c r="S30" s="2798" t="s">
        <v>316</v>
      </c>
      <c r="T30" s="2798" t="s">
        <v>6426</v>
      </c>
      <c r="U30" s="2798" t="s">
        <v>6422</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6619</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6427</v>
      </c>
      <c r="U32" s="2798" t="s">
        <v>6422</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5662</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6619</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6428</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5663</v>
      </c>
      <c r="G35" s="2793" t="s">
        <v>293</v>
      </c>
      <c r="H35" s="2793"/>
      <c r="I35" s="2793">
        <v>1511</v>
      </c>
      <c r="J35" s="2793" t="s">
        <v>84</v>
      </c>
      <c r="M35" s="2793" t="s">
        <v>237</v>
      </c>
      <c r="N35" s="2794"/>
      <c r="O35" s="2795">
        <v>1495</v>
      </c>
      <c r="P35" s="2796" t="s">
        <v>377</v>
      </c>
      <c r="Q35" s="2796" t="s">
        <v>378</v>
      </c>
      <c r="R35" s="2791">
        <v>7054</v>
      </c>
      <c r="S35" s="2798" t="s">
        <v>5109</v>
      </c>
      <c r="T35" s="2798" t="s">
        <v>6429</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6430</v>
      </c>
      <c r="U36" s="2798" t="s">
        <v>5999</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5664</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5665</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5666</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6376</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5667</v>
      </c>
      <c r="G49" s="2793" t="s">
        <v>394</v>
      </c>
      <c r="H49" s="2793"/>
      <c r="I49" s="2793">
        <v>1700</v>
      </c>
      <c r="J49" s="2793" t="s">
        <v>84</v>
      </c>
      <c r="M49" s="2793" t="s">
        <v>317</v>
      </c>
      <c r="N49" s="2794"/>
      <c r="O49" s="2795">
        <v>1531</v>
      </c>
      <c r="P49" s="2796" t="s">
        <v>355</v>
      </c>
      <c r="Q49" s="2796" t="s">
        <v>356</v>
      </c>
      <c r="R49" s="2791">
        <v>7025</v>
      </c>
      <c r="S49" s="2798" t="s">
        <v>456</v>
      </c>
      <c r="T49" s="2798" t="s">
        <v>6377</v>
      </c>
      <c r="U49" s="2798" t="s">
        <v>6421</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5668</v>
      </c>
      <c r="G50" s="2793" t="s">
        <v>409</v>
      </c>
      <c r="H50" s="2793"/>
      <c r="I50" s="2793">
        <v>1711</v>
      </c>
      <c r="J50" s="2793" t="s">
        <v>84</v>
      </c>
      <c r="M50" s="2793" t="s">
        <v>323</v>
      </c>
      <c r="N50" s="2794" t="s">
        <v>119</v>
      </c>
      <c r="O50" s="2795">
        <v>1538</v>
      </c>
      <c r="P50" s="2796" t="s">
        <v>363</v>
      </c>
      <c r="Q50" s="2796" t="s">
        <v>364</v>
      </c>
      <c r="R50" s="2791">
        <v>7026</v>
      </c>
      <c r="S50" s="2798" t="s">
        <v>461</v>
      </c>
      <c r="T50" s="2798" t="s">
        <v>6378</v>
      </c>
      <c r="U50" s="2798" t="s">
        <v>6421</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5669</v>
      </c>
      <c r="G51" s="2793" t="s">
        <v>415</v>
      </c>
      <c r="H51" s="2793"/>
      <c r="I51" s="2793">
        <v>1801</v>
      </c>
      <c r="J51" s="2793" t="s">
        <v>84</v>
      </c>
      <c r="M51" s="2793" t="s">
        <v>329</v>
      </c>
      <c r="N51" s="2794" t="s">
        <v>119</v>
      </c>
      <c r="O51" s="2795">
        <v>1539</v>
      </c>
      <c r="P51" s="2796" t="s">
        <v>370</v>
      </c>
      <c r="Q51" s="2796" t="s">
        <v>371</v>
      </c>
      <c r="R51" s="2791">
        <v>7053</v>
      </c>
      <c r="S51" s="2798" t="s">
        <v>466</v>
      </c>
      <c r="T51" s="2798" t="s">
        <v>6379</v>
      </c>
      <c r="U51" s="2798" t="s">
        <v>6422</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5670</v>
      </c>
      <c r="G52" s="2793" t="s">
        <v>422</v>
      </c>
      <c r="H52" s="2793"/>
      <c r="I52" s="2793">
        <v>1811</v>
      </c>
      <c r="J52" s="2793" t="s">
        <v>84</v>
      </c>
      <c r="M52" s="2793" t="s">
        <v>337</v>
      </c>
      <c r="N52" s="2794"/>
      <c r="O52" s="2795">
        <v>1601</v>
      </c>
      <c r="P52" s="2796" t="s">
        <v>377</v>
      </c>
      <c r="Q52" s="2796" t="s">
        <v>378</v>
      </c>
      <c r="R52" s="2791">
        <v>7054</v>
      </c>
      <c r="S52" s="2798" t="s">
        <v>6372</v>
      </c>
      <c r="T52" s="2798" t="s">
        <v>6380</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5671</v>
      </c>
      <c r="G53" s="2793" t="s">
        <v>429</v>
      </c>
      <c r="H53" s="2793"/>
      <c r="I53" s="2793">
        <v>1996</v>
      </c>
      <c r="J53" s="2793" t="s">
        <v>84</v>
      </c>
      <c r="M53" s="2793" t="s">
        <v>486</v>
      </c>
      <c r="N53" s="2794"/>
      <c r="O53" s="2795">
        <v>1601.1602</v>
      </c>
      <c r="P53" s="2796" t="s">
        <v>384</v>
      </c>
      <c r="Q53" s="2796" t="s">
        <v>385</v>
      </c>
      <c r="R53" s="2791">
        <v>7055</v>
      </c>
      <c r="S53" s="2798" t="s">
        <v>6373</v>
      </c>
      <c r="T53" s="2798" t="s">
        <v>6381</v>
      </c>
      <c r="U53" s="2798" t="s">
        <v>6421</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6374</v>
      </c>
      <c r="T54" s="2798" t="s">
        <v>6382</v>
      </c>
      <c r="U54" s="2798" t="s">
        <v>6421</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6375</v>
      </c>
      <c r="T55" s="2798" t="s">
        <v>6383</v>
      </c>
      <c r="U55" s="2798" t="s">
        <v>6422</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6384</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5672</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5673</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5674</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5675</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5676</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5677</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5678</v>
      </c>
      <c r="G66" s="2793" t="s">
        <v>653</v>
      </c>
      <c r="H66" s="2793" t="s">
        <v>653</v>
      </c>
      <c r="I66" s="2793">
        <v>2206</v>
      </c>
      <c r="J66" s="2793" t="s">
        <v>84</v>
      </c>
      <c r="M66" s="2793" t="s">
        <v>556</v>
      </c>
      <c r="N66" s="2794" t="s">
        <v>557</v>
      </c>
      <c r="O66" s="2795">
        <v>1636</v>
      </c>
      <c r="S66" s="2798" t="s">
        <v>526</v>
      </c>
      <c r="T66" s="2798" t="s">
        <v>527</v>
      </c>
      <c r="U66" s="2798" t="s">
        <v>6431</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6431</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5910</v>
      </c>
      <c r="U70" s="2798" t="s">
        <v>6432</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5679</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6619</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5680</v>
      </c>
      <c r="G72" s="2793" t="s">
        <v>494</v>
      </c>
      <c r="H72" s="2793"/>
      <c r="I72" s="2793">
        <v>2221</v>
      </c>
      <c r="J72" s="2793" t="s">
        <v>84</v>
      </c>
      <c r="M72" s="2793" t="s">
        <v>583</v>
      </c>
      <c r="N72" s="2794"/>
      <c r="O72" s="2795">
        <v>1711.1712</v>
      </c>
      <c r="S72" s="2798">
        <v>122101</v>
      </c>
      <c r="T72" s="2798" t="s">
        <v>6433</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6621</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5681</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6622</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5682</v>
      </c>
      <c r="G75" s="2793" t="s">
        <v>507</v>
      </c>
      <c r="H75" s="2793"/>
      <c r="I75" s="2793">
        <v>2232</v>
      </c>
      <c r="J75" s="2793" t="s">
        <v>84</v>
      </c>
      <c r="M75" s="2793" t="s">
        <v>429</v>
      </c>
      <c r="N75" s="2794"/>
      <c r="O75" s="2795">
        <v>1996</v>
      </c>
      <c r="S75" s="2798">
        <v>122111</v>
      </c>
      <c r="T75" s="2798" t="s">
        <v>5923</v>
      </c>
      <c r="U75" s="2798" t="s">
        <v>6421</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5683</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6623</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5911</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5922</v>
      </c>
      <c r="U78" s="2798" t="s">
        <v>6422</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5684</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6619</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5685</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6628</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5686</v>
      </c>
      <c r="G81" s="2793" t="s">
        <v>534</v>
      </c>
      <c r="H81" s="2793"/>
      <c r="I81" s="2793">
        <v>2396</v>
      </c>
      <c r="J81" s="2793" t="s">
        <v>84</v>
      </c>
      <c r="M81" s="2793" t="s">
        <v>471</v>
      </c>
      <c r="N81" s="2794"/>
      <c r="O81" s="2795">
        <v>2201</v>
      </c>
      <c r="S81" s="2798">
        <v>122114</v>
      </c>
      <c r="T81" s="2798" t="s">
        <v>5921</v>
      </c>
      <c r="U81" s="2798" t="s">
        <v>6422</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6434</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5912</v>
      </c>
      <c r="U83" s="2798" t="s">
        <v>6421</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5913</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5687</v>
      </c>
      <c r="G85" s="2793" t="s">
        <v>546</v>
      </c>
      <c r="H85" s="2793"/>
      <c r="I85" s="2793">
        <v>2501</v>
      </c>
      <c r="J85" s="2793" t="s">
        <v>84</v>
      </c>
      <c r="M85" s="2793" t="s">
        <v>489</v>
      </c>
      <c r="N85" s="2794"/>
      <c r="O85" s="2795">
        <v>2211</v>
      </c>
      <c r="S85" s="2798">
        <v>122123</v>
      </c>
      <c r="T85" s="2798" t="s">
        <v>5914</v>
      </c>
      <c r="U85" s="2798" t="s">
        <v>6422</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5688</v>
      </c>
      <c r="G86" s="2793" t="s">
        <v>550</v>
      </c>
      <c r="H86" s="2793"/>
      <c r="I86" s="2793">
        <v>2502</v>
      </c>
      <c r="J86" s="2793" t="s">
        <v>84</v>
      </c>
      <c r="M86" s="2793" t="s">
        <v>494</v>
      </c>
      <c r="N86" s="2794"/>
      <c r="O86" s="2795">
        <v>2221</v>
      </c>
      <c r="S86" s="2798">
        <v>122124</v>
      </c>
      <c r="T86" s="2798" t="s">
        <v>5915</v>
      </c>
      <c r="U86" s="2798" t="s">
        <v>6422</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6435</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5916</v>
      </c>
      <c r="U88" s="2798" t="s">
        <v>6421</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5689</v>
      </c>
      <c r="G89" s="2793" t="s">
        <v>720</v>
      </c>
      <c r="H89" s="2793" t="s">
        <v>720</v>
      </c>
      <c r="I89" s="2793">
        <v>2506</v>
      </c>
      <c r="J89" s="2793" t="s">
        <v>84</v>
      </c>
      <c r="M89" s="2793" t="s">
        <v>513</v>
      </c>
      <c r="N89" s="2794"/>
      <c r="O89" s="2795">
        <v>2241</v>
      </c>
      <c r="S89" s="2798">
        <v>122132</v>
      </c>
      <c r="T89" s="2798" t="s">
        <v>5917</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5918</v>
      </c>
      <c r="U90" s="2798" t="s">
        <v>6422</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5690</v>
      </c>
      <c r="G91" s="2793" t="s">
        <v>599</v>
      </c>
      <c r="H91" s="2793"/>
      <c r="I91" s="2793">
        <v>2701</v>
      </c>
      <c r="J91" s="2793" t="s">
        <v>84</v>
      </c>
      <c r="M91" s="2793" t="s">
        <v>529</v>
      </c>
      <c r="N91" s="2794"/>
      <c r="O91" s="2795">
        <v>2395</v>
      </c>
      <c r="S91" s="2798">
        <v>122134</v>
      </c>
      <c r="T91" s="2798" t="s">
        <v>5919</v>
      </c>
      <c r="U91" s="2798" t="s">
        <v>6422</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5691</v>
      </c>
      <c r="G92" s="2793" t="s">
        <v>562</v>
      </c>
      <c r="H92" s="2793"/>
      <c r="I92" s="2793">
        <v>2711</v>
      </c>
      <c r="J92" s="2793" t="s">
        <v>84</v>
      </c>
      <c r="M92" s="2793" t="s">
        <v>534</v>
      </c>
      <c r="N92" s="2794"/>
      <c r="O92" s="2795">
        <v>2396</v>
      </c>
      <c r="S92" s="2798" t="s">
        <v>558</v>
      </c>
      <c r="T92" s="2798" t="s">
        <v>6436</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5692</v>
      </c>
      <c r="G93" s="2793" t="s">
        <v>564</v>
      </c>
      <c r="H93" s="2793"/>
      <c r="I93" s="2793">
        <v>2715</v>
      </c>
      <c r="J93" s="2793" t="s">
        <v>84</v>
      </c>
      <c r="M93" s="2793" t="s">
        <v>541</v>
      </c>
      <c r="N93" s="2794"/>
      <c r="O93" s="2795">
        <v>2401</v>
      </c>
      <c r="S93" s="2798" t="s">
        <v>569</v>
      </c>
      <c r="T93" s="2798" t="s">
        <v>6437</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5693</v>
      </c>
      <c r="G94" s="2793" t="s">
        <v>570</v>
      </c>
      <c r="H94" s="2793"/>
      <c r="I94" s="2793">
        <v>2801</v>
      </c>
      <c r="J94" s="2793" t="s">
        <v>84</v>
      </c>
      <c r="M94" s="2793" t="s">
        <v>546</v>
      </c>
      <c r="N94" s="2794"/>
      <c r="O94" s="2795">
        <v>2501</v>
      </c>
      <c r="S94" s="2798" t="s">
        <v>575</v>
      </c>
      <c r="T94" s="2798" t="s">
        <v>6438</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5694</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5695</v>
      </c>
      <c r="G96" s="2793" t="s">
        <v>576</v>
      </c>
      <c r="H96" s="2793"/>
      <c r="I96" s="2793">
        <v>2901</v>
      </c>
      <c r="J96" s="2793" t="s">
        <v>84</v>
      </c>
      <c r="M96" s="2793" t="s">
        <v>588</v>
      </c>
      <c r="N96" s="2794" t="s">
        <v>331</v>
      </c>
      <c r="O96" s="2795">
        <v>2502.11</v>
      </c>
      <c r="S96" s="2798">
        <v>122104</v>
      </c>
      <c r="T96" s="2798" t="s">
        <v>5909</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5696</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5875</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5697</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5698</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5699</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5700</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5701</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5702</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5703</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5876</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5878</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5704</v>
      </c>
      <c r="G124" s="2793" t="s">
        <v>766</v>
      </c>
      <c r="H124" s="2793" t="s">
        <v>767</v>
      </c>
      <c r="I124" s="2793">
        <v>6401</v>
      </c>
      <c r="J124" s="2793" t="s">
        <v>84</v>
      </c>
      <c r="M124" s="2793" t="s">
        <v>711</v>
      </c>
      <c r="N124" s="2794"/>
      <c r="O124" s="2795">
        <v>6711</v>
      </c>
      <c r="S124" s="2798" t="s">
        <v>773</v>
      </c>
      <c r="T124" s="2798" t="s">
        <v>6439</v>
      </c>
      <c r="U124" s="2798" t="s">
        <v>6432</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5705</v>
      </c>
      <c r="D129" s="2793">
        <v>1</v>
      </c>
      <c r="E129" s="2793" t="s">
        <v>102</v>
      </c>
      <c r="F129" s="2793"/>
      <c r="G129" s="2793" t="s">
        <v>5705</v>
      </c>
      <c r="H129" s="2793" t="s">
        <v>5705</v>
      </c>
      <c r="I129" s="2793">
        <v>6505</v>
      </c>
      <c r="J129" s="2793" t="s">
        <v>84</v>
      </c>
      <c r="M129" s="2793" t="s">
        <v>858</v>
      </c>
      <c r="N129" s="2794"/>
      <c r="O129" s="2795">
        <v>6829.2190000000001</v>
      </c>
      <c r="S129" s="2798" t="s">
        <v>784</v>
      </c>
      <c r="T129" s="2798" t="s">
        <v>5962</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5706</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5707</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5708</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5709</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6623</v>
      </c>
      <c r="Z135" s="2795">
        <v>1000</v>
      </c>
      <c r="AA135" s="2795" t="s">
        <v>882</v>
      </c>
      <c r="AB135" s="2795">
        <v>9120</v>
      </c>
    </row>
    <row r="136" spans="2:28">
      <c r="B136" s="2793">
        <v>6603</v>
      </c>
      <c r="C136" s="2793" t="s">
        <v>689</v>
      </c>
      <c r="D136" s="2793">
        <v>1</v>
      </c>
      <c r="E136" s="2793"/>
      <c r="F136" s="2793" t="s">
        <v>5710</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5711</v>
      </c>
      <c r="G139" s="2793" t="s">
        <v>2396</v>
      </c>
      <c r="H139" s="2793" t="s">
        <v>2396</v>
      </c>
      <c r="I139" s="2793">
        <v>6181</v>
      </c>
      <c r="J139" s="2793" t="s">
        <v>84</v>
      </c>
      <c r="M139" s="2793" t="s">
        <v>909</v>
      </c>
      <c r="N139" s="2794"/>
      <c r="O139" s="2795">
        <v>6829.2389999999996</v>
      </c>
      <c r="S139" s="2798" t="s">
        <v>859</v>
      </c>
      <c r="T139" s="2798" t="s">
        <v>6440</v>
      </c>
      <c r="U139" s="2798" t="s">
        <v>6432</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5712</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5713</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5961</v>
      </c>
      <c r="U144" s="2798" t="s">
        <v>3097</v>
      </c>
      <c r="V144" s="2798">
        <v>1</v>
      </c>
      <c r="W144" s="2798">
        <v>1508</v>
      </c>
      <c r="X144" s="2798">
        <v>2</v>
      </c>
      <c r="Y144" s="2795" t="s">
        <v>295</v>
      </c>
    </row>
    <row r="145" spans="2:25">
      <c r="B145" s="2793">
        <v>6101</v>
      </c>
      <c r="C145" s="2793" t="s">
        <v>643</v>
      </c>
      <c r="D145" s="2793">
        <v>-1</v>
      </c>
      <c r="E145" s="2793"/>
      <c r="F145" s="2793" t="s">
        <v>5714</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5715</v>
      </c>
      <c r="G147" s="2793" t="s">
        <v>812</v>
      </c>
      <c r="H147" s="2793" t="s">
        <v>812</v>
      </c>
      <c r="I147" s="2793">
        <v>6671</v>
      </c>
      <c r="J147" s="2793" t="s">
        <v>84</v>
      </c>
      <c r="M147" s="2793" t="s">
        <v>940</v>
      </c>
      <c r="N147" s="2794" t="s">
        <v>941</v>
      </c>
      <c r="O147" s="2795" t="s">
        <v>942</v>
      </c>
      <c r="S147" s="2798" t="s">
        <v>917</v>
      </c>
      <c r="T147" s="2798" t="s">
        <v>6441</v>
      </c>
      <c r="U147" s="2798" t="s">
        <v>47</v>
      </c>
      <c r="V147" s="2798">
        <v>1</v>
      </c>
      <c r="W147" s="2798">
        <v>1501</v>
      </c>
      <c r="X147" s="2798">
        <v>2</v>
      </c>
      <c r="Y147" s="2795" t="s">
        <v>295</v>
      </c>
    </row>
    <row r="148" spans="2:25">
      <c r="B148" s="2793">
        <v>6171</v>
      </c>
      <c r="C148" s="2793" t="s">
        <v>660</v>
      </c>
      <c r="D148" s="2793">
        <v>-1</v>
      </c>
      <c r="E148" s="2793"/>
      <c r="F148" s="2793" t="s">
        <v>5716</v>
      </c>
      <c r="G148" s="2793" t="s">
        <v>2405</v>
      </c>
      <c r="H148" s="2793" t="s">
        <v>2405</v>
      </c>
      <c r="I148" s="2793">
        <v>6171</v>
      </c>
      <c r="J148" s="2793" t="s">
        <v>84</v>
      </c>
      <c r="M148" s="2793" t="s">
        <v>943</v>
      </c>
      <c r="N148" s="2794" t="s">
        <v>941</v>
      </c>
      <c r="O148" s="2795" t="s">
        <v>944</v>
      </c>
      <c r="S148" s="2798" t="s">
        <v>5588</v>
      </c>
      <c r="T148" s="2798" t="s">
        <v>5589</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5717</v>
      </c>
      <c r="G150" s="2793" t="s">
        <v>839</v>
      </c>
      <c r="H150" s="2793" t="s">
        <v>839</v>
      </c>
      <c r="I150" s="2793">
        <v>6710</v>
      </c>
      <c r="J150" s="2793" t="s">
        <v>84</v>
      </c>
      <c r="M150" s="2793" t="s">
        <v>947</v>
      </c>
      <c r="N150" s="2794" t="s">
        <v>948</v>
      </c>
      <c r="O150" s="2795">
        <v>6829.5320000000002</v>
      </c>
      <c r="S150" s="2798" t="s">
        <v>5920</v>
      </c>
      <c r="T150" s="2798" t="s">
        <v>6442</v>
      </c>
      <c r="U150" s="2798" t="s">
        <v>6432</v>
      </c>
      <c r="V150" s="2798">
        <v>1</v>
      </c>
      <c r="W150" s="2798">
        <v>1531</v>
      </c>
      <c r="X150" s="2798">
        <v>2</v>
      </c>
      <c r="Y150" s="2795" t="s">
        <v>295</v>
      </c>
    </row>
    <row r="151" spans="2:25">
      <c r="B151" s="2793">
        <v>6711</v>
      </c>
      <c r="C151" s="2793" t="s">
        <v>711</v>
      </c>
      <c r="D151" s="2793">
        <v>1</v>
      </c>
      <c r="E151" s="2793"/>
      <c r="F151" s="2793" t="s">
        <v>5718</v>
      </c>
      <c r="G151" s="2793" t="s">
        <v>851</v>
      </c>
      <c r="H151" s="2793" t="s">
        <v>851</v>
      </c>
      <c r="I151" s="2793">
        <v>6711</v>
      </c>
      <c r="J151" s="2793" t="s">
        <v>84</v>
      </c>
      <c r="M151" s="2793" t="s">
        <v>950</v>
      </c>
      <c r="N151" s="2794" t="s">
        <v>948</v>
      </c>
      <c r="O151" s="2795">
        <v>6829.5330000000004</v>
      </c>
      <c r="S151" s="2798" t="s">
        <v>928</v>
      </c>
      <c r="T151" s="2798" t="s">
        <v>5954</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5955</v>
      </c>
      <c r="U152" s="2798" t="s">
        <v>5117</v>
      </c>
      <c r="V152" s="2798">
        <v>1</v>
      </c>
      <c r="W152" s="2798">
        <v>1531</v>
      </c>
      <c r="X152" s="2798">
        <v>2</v>
      </c>
      <c r="Y152" s="2795" t="s">
        <v>295</v>
      </c>
    </row>
    <row r="153" spans="2:25">
      <c r="B153" s="2793">
        <v>6791</v>
      </c>
      <c r="C153" s="2793" t="s">
        <v>717</v>
      </c>
      <c r="D153" s="2793">
        <v>1</v>
      </c>
      <c r="E153" s="2793"/>
      <c r="F153" s="2793" t="s">
        <v>5719</v>
      </c>
      <c r="G153" s="2793" t="s">
        <v>867</v>
      </c>
      <c r="H153" s="2793" t="s">
        <v>867</v>
      </c>
      <c r="I153" s="2793">
        <v>6791</v>
      </c>
      <c r="J153" s="2793" t="s">
        <v>84</v>
      </c>
      <c r="M153" s="2793" t="s">
        <v>955</v>
      </c>
      <c r="N153" s="2794" t="s">
        <v>708</v>
      </c>
      <c r="O153" s="2795">
        <v>6829.5349999999999</v>
      </c>
      <c r="S153" s="2798" t="s">
        <v>934</v>
      </c>
      <c r="T153" s="2798" t="s">
        <v>5956</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6443</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5720</v>
      </c>
      <c r="I155" s="2793">
        <v>6835</v>
      </c>
      <c r="J155" s="2793"/>
      <c r="M155" s="2793" t="s">
        <v>964</v>
      </c>
      <c r="N155" s="2794" t="s">
        <v>708</v>
      </c>
      <c r="O155" s="2795">
        <v>6829.5370000000003</v>
      </c>
      <c r="S155" s="2798" t="s">
        <v>949</v>
      </c>
      <c r="T155" s="2798" t="s">
        <v>5957</v>
      </c>
      <c r="U155" s="2798" t="s">
        <v>6444</v>
      </c>
      <c r="V155" s="2798">
        <v>1</v>
      </c>
      <c r="W155" s="2798">
        <v>1531</v>
      </c>
      <c r="X155" s="2798">
        <v>2</v>
      </c>
      <c r="Y155" s="2795" t="s">
        <v>295</v>
      </c>
    </row>
    <row r="156" spans="2:25">
      <c r="B156" s="2793">
        <v>6816</v>
      </c>
      <c r="C156" s="2793" t="s">
        <v>2401</v>
      </c>
      <c r="D156" s="2793">
        <v>1</v>
      </c>
      <c r="E156" s="2793"/>
      <c r="F156" s="2793"/>
      <c r="G156" s="2793" t="s">
        <v>2402</v>
      </c>
      <c r="H156" s="2793" t="s">
        <v>5721</v>
      </c>
      <c r="I156" s="2793">
        <v>6816</v>
      </c>
      <c r="J156" s="2793"/>
      <c r="M156" s="2793" t="s">
        <v>968</v>
      </c>
      <c r="N156" s="2794" t="s">
        <v>708</v>
      </c>
      <c r="O156" s="2795">
        <v>6829.5389999999998</v>
      </c>
      <c r="S156" s="2798" t="s">
        <v>939</v>
      </c>
      <c r="T156" s="2798" t="s">
        <v>5958</v>
      </c>
      <c r="U156" s="2798" t="s">
        <v>6422</v>
      </c>
      <c r="V156" s="2798">
        <v>1</v>
      </c>
      <c r="W156" s="2798">
        <v>1531</v>
      </c>
      <c r="X156" s="2798">
        <v>2</v>
      </c>
      <c r="Y156" s="2795" t="s">
        <v>295</v>
      </c>
    </row>
    <row r="157" spans="2:25">
      <c r="B157" s="2793">
        <v>6817</v>
      </c>
      <c r="C157" s="2793" t="s">
        <v>2403</v>
      </c>
      <c r="D157" s="2793">
        <v>1</v>
      </c>
      <c r="E157" s="2793"/>
      <c r="F157" s="2793"/>
      <c r="G157" s="2793" t="s">
        <v>2404</v>
      </c>
      <c r="H157" s="2793" t="s">
        <v>5722</v>
      </c>
      <c r="I157" s="2793">
        <v>6817</v>
      </c>
      <c r="J157" s="2793"/>
      <c r="M157" s="2793" t="s">
        <v>971</v>
      </c>
      <c r="N157" s="2794" t="s">
        <v>941</v>
      </c>
      <c r="O157" s="2795" t="s">
        <v>972</v>
      </c>
      <c r="S157" s="2798" t="s">
        <v>954</v>
      </c>
      <c r="T157" s="2798" t="s">
        <v>5959</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5723</v>
      </c>
      <c r="I158" s="2793">
        <v>6830</v>
      </c>
      <c r="J158" s="2793"/>
      <c r="M158" s="2793" t="s">
        <v>975</v>
      </c>
      <c r="N158" s="2794" t="s">
        <v>941</v>
      </c>
      <c r="O158" s="2795" t="s">
        <v>976</v>
      </c>
      <c r="S158" s="2798" t="s">
        <v>951</v>
      </c>
      <c r="T158" s="2798" t="s">
        <v>5960</v>
      </c>
      <c r="U158" s="2798" t="s">
        <v>2862</v>
      </c>
      <c r="V158" s="2798">
        <v>1</v>
      </c>
      <c r="W158" s="2798">
        <v>1531</v>
      </c>
      <c r="X158" s="2798">
        <v>2</v>
      </c>
      <c r="Y158" s="2795" t="s">
        <v>295</v>
      </c>
    </row>
    <row r="159" spans="2:25">
      <c r="B159" s="2793">
        <v>6811</v>
      </c>
      <c r="C159" s="2793" t="s">
        <v>883</v>
      </c>
      <c r="D159" s="2793">
        <v>-1</v>
      </c>
      <c r="E159" s="2793" t="s">
        <v>708</v>
      </c>
      <c r="F159" s="2793"/>
      <c r="G159" s="2793" t="s">
        <v>5880</v>
      </c>
      <c r="H159" s="2793" t="s">
        <v>5724</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5725</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6445</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5726</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5727</v>
      </c>
      <c r="I163" s="2793">
        <v>6829.21</v>
      </c>
      <c r="J163" s="2793"/>
      <c r="M163" s="2793" t="s">
        <v>1005</v>
      </c>
      <c r="N163" s="2794"/>
      <c r="O163" s="2795">
        <v>8103</v>
      </c>
      <c r="S163" s="2798" t="s">
        <v>5622</v>
      </c>
      <c r="T163" s="2798" t="s">
        <v>5624</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5623</v>
      </c>
      <c r="T164" s="2798" t="s">
        <v>5625</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6446</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5728</v>
      </c>
      <c r="I169" s="2793">
        <v>6829.23</v>
      </c>
      <c r="J169" s="2793"/>
      <c r="M169" s="2793" t="s">
        <v>1033</v>
      </c>
      <c r="N169" s="2794"/>
      <c r="O169" s="2795">
        <v>8151</v>
      </c>
      <c r="S169" s="2798" t="s">
        <v>5618</v>
      </c>
      <c r="T169" s="2798" t="s">
        <v>5620</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5619</v>
      </c>
      <c r="T170" s="2798" t="s">
        <v>5621</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5746</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6447</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6448</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6449</v>
      </c>
      <c r="U191" s="2798" t="s">
        <v>47</v>
      </c>
      <c r="V191" s="2798">
        <v>1</v>
      </c>
      <c r="W191" s="2798">
        <v>1604</v>
      </c>
      <c r="X191" s="2798">
        <v>2</v>
      </c>
      <c r="Y191" s="2795" t="s">
        <v>6623</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5357</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6054</v>
      </c>
      <c r="T199" s="2798" t="s">
        <v>6056</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6055</v>
      </c>
      <c r="T200" s="2798" t="s">
        <v>6057</v>
      </c>
      <c r="U200" s="2798" t="s">
        <v>47</v>
      </c>
      <c r="V200" s="2798">
        <v>1</v>
      </c>
      <c r="W200" s="2798">
        <v>1701</v>
      </c>
      <c r="X200" s="2798">
        <v>2</v>
      </c>
      <c r="Y200" s="2795" t="s">
        <v>295</v>
      </c>
    </row>
    <row r="201" spans="2:25">
      <c r="B201" s="2793">
        <v>6841</v>
      </c>
      <c r="C201" s="2793" t="s">
        <v>967</v>
      </c>
      <c r="D201" s="2793">
        <v>-1</v>
      </c>
      <c r="E201" s="2793" t="s">
        <v>708</v>
      </c>
      <c r="F201" s="2793"/>
      <c r="G201" s="2793" t="s">
        <v>5747</v>
      </c>
      <c r="H201" s="2793" t="s">
        <v>5748</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5749</v>
      </c>
      <c r="H202" s="2793" t="s">
        <v>5749</v>
      </c>
      <c r="I202" s="2793">
        <v>6842</v>
      </c>
      <c r="J202" s="2793"/>
      <c r="M202" s="2793" t="s">
        <v>1185</v>
      </c>
      <c r="N202" s="2794"/>
      <c r="O202" s="2795">
        <v>8271</v>
      </c>
      <c r="S202" s="2798" t="s">
        <v>6067</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5729</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5730</v>
      </c>
      <c r="H204" s="2793" t="s">
        <v>5731</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5732</v>
      </c>
      <c r="H205" s="2793" t="s">
        <v>5733</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5734</v>
      </c>
      <c r="D213" s="2793">
        <v>1</v>
      </c>
      <c r="E213" s="2793" t="s">
        <v>102</v>
      </c>
      <c r="F213" s="2793"/>
      <c r="G213" s="2793" t="s">
        <v>5734</v>
      </c>
      <c r="H213" s="2793" t="s">
        <v>5734</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5735</v>
      </c>
      <c r="H215" s="2793" t="s">
        <v>5735</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5736</v>
      </c>
      <c r="D218" s="2793">
        <v>1</v>
      </c>
      <c r="E218" s="2793" t="s">
        <v>102</v>
      </c>
      <c r="F218" s="2793"/>
      <c r="G218" s="2793" t="s">
        <v>5736</v>
      </c>
      <c r="H218" s="2793" t="s">
        <v>5736</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5737</v>
      </c>
      <c r="D226" s="2793">
        <v>-1</v>
      </c>
      <c r="E226" s="2793" t="s">
        <v>102</v>
      </c>
      <c r="F226" s="2793"/>
      <c r="G226" s="2793" t="s">
        <v>5737</v>
      </c>
      <c r="H226" s="2793" t="s">
        <v>5737</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5738</v>
      </c>
      <c r="H227" s="2793" t="s">
        <v>5738</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5745</v>
      </c>
      <c r="H241" s="2793" t="s">
        <v>5745</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6450</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6450</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6451</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6452</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6453</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6454</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6455</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6456</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5590</v>
      </c>
      <c r="T273" s="2798" t="s">
        <v>5591</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6457</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6458</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6614</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6614</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5750</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6170</v>
      </c>
      <c r="T320" s="2798" t="s">
        <v>6171</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6640</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6641</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6459</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5697</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6614</v>
      </c>
    </row>
    <row r="328" spans="2:25">
      <c r="B328" s="2793">
        <v>8102</v>
      </c>
      <c r="C328" s="2793" t="s">
        <v>998</v>
      </c>
      <c r="D328" s="2793">
        <v>-1</v>
      </c>
      <c r="E328" s="2793" t="s">
        <v>999</v>
      </c>
      <c r="F328" s="2793" t="s">
        <v>5697</v>
      </c>
      <c r="G328" s="2793" t="s">
        <v>991</v>
      </c>
      <c r="H328" s="2793"/>
      <c r="I328" s="2793">
        <v>8102</v>
      </c>
      <c r="J328" s="2793" t="s">
        <v>84</v>
      </c>
      <c r="M328" s="2794" t="s">
        <v>1809</v>
      </c>
      <c r="N328" s="2794"/>
      <c r="O328" s="2795">
        <v>8776</v>
      </c>
      <c r="S328" s="2798" t="s">
        <v>6092</v>
      </c>
      <c r="T328" s="2798" t="s">
        <v>6093</v>
      </c>
      <c r="U328" s="2798" t="s">
        <v>1878</v>
      </c>
      <c r="V328" s="2798">
        <v>1</v>
      </c>
      <c r="W328" s="2798">
        <v>6101</v>
      </c>
      <c r="X328" s="2798">
        <v>1</v>
      </c>
      <c r="Y328" s="2795" t="s">
        <v>295</v>
      </c>
    </row>
    <row r="329" spans="2:25">
      <c r="B329" s="2793">
        <v>8103</v>
      </c>
      <c r="C329" s="2793" t="s">
        <v>1005</v>
      </c>
      <c r="D329" s="2793">
        <v>-1</v>
      </c>
      <c r="E329" s="2793"/>
      <c r="F329" s="2793" t="s">
        <v>5697</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5697</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5697</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5697</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5697</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5697</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5697</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5697</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5697</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5697</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5697</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6460</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6150</v>
      </c>
      <c r="T392" s="2798" t="s">
        <v>6151</v>
      </c>
      <c r="U392" s="2798" t="s">
        <v>47</v>
      </c>
      <c r="V392" s="2798">
        <v>-2</v>
      </c>
      <c r="W392" s="2798"/>
      <c r="X392" s="2798">
        <v>2</v>
      </c>
      <c r="Y392" s="2795" t="s">
        <v>6636</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6104</v>
      </c>
      <c r="T412" s="2798" t="s">
        <v>6103</v>
      </c>
      <c r="U412" s="2798" t="s">
        <v>47</v>
      </c>
      <c r="V412" s="2798">
        <v>-2</v>
      </c>
      <c r="W412" s="2798"/>
      <c r="X412" s="2798">
        <v>2</v>
      </c>
      <c r="Y412" s="2795" t="s">
        <v>6621</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5699</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5699</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5699</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5699</v>
      </c>
      <c r="G486" s="2793" t="s">
        <v>1004</v>
      </c>
      <c r="H486" s="2793"/>
      <c r="I486" s="2793">
        <v>8204</v>
      </c>
      <c r="J486" s="2793" t="s">
        <v>84</v>
      </c>
    </row>
    <row r="487" spans="2:25">
      <c r="B487" s="2793">
        <v>8209</v>
      </c>
      <c r="C487" s="2793" t="s">
        <v>1145</v>
      </c>
      <c r="D487" s="2793">
        <v>-1</v>
      </c>
      <c r="E487" s="2793"/>
      <c r="F487" s="2793" t="s">
        <v>5699</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5699</v>
      </c>
      <c r="G492" s="2793" t="s">
        <v>1182</v>
      </c>
      <c r="H492" s="2793"/>
      <c r="I492" s="2793">
        <v>8251</v>
      </c>
      <c r="J492" s="2793" t="s">
        <v>84</v>
      </c>
    </row>
    <row r="493" spans="2:25">
      <c r="B493" s="2793">
        <v>8252</v>
      </c>
      <c r="C493" s="2793" t="s">
        <v>1161</v>
      </c>
      <c r="D493" s="2793">
        <v>-1</v>
      </c>
      <c r="E493" s="2793"/>
      <c r="F493" s="2793" t="s">
        <v>5699</v>
      </c>
      <c r="G493" s="2793" t="s">
        <v>1055</v>
      </c>
      <c r="H493" s="2793"/>
      <c r="I493" s="2793">
        <v>8252</v>
      </c>
      <c r="J493" s="2793" t="s">
        <v>84</v>
      </c>
    </row>
    <row r="494" spans="2:25">
      <c r="B494" s="2793">
        <v>8253</v>
      </c>
      <c r="C494" s="2793" t="s">
        <v>1164</v>
      </c>
      <c r="D494" s="2793">
        <v>-1</v>
      </c>
      <c r="E494" s="2793" t="s">
        <v>331</v>
      </c>
      <c r="F494" s="2793" t="s">
        <v>5699</v>
      </c>
      <c r="G494" s="2793" t="s">
        <v>1049</v>
      </c>
      <c r="H494" s="2793"/>
      <c r="I494" s="2793">
        <v>8253</v>
      </c>
      <c r="J494" s="2793" t="s">
        <v>84</v>
      </c>
    </row>
    <row r="495" spans="2:25">
      <c r="B495" s="2793">
        <v>8256</v>
      </c>
      <c r="C495" s="2793" t="s">
        <v>1169</v>
      </c>
      <c r="D495" s="2793">
        <v>-1</v>
      </c>
      <c r="E495" s="2793"/>
      <c r="F495" s="2793" t="s">
        <v>5699</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5699</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5699</v>
      </c>
      <c r="G499" s="2793" t="s">
        <v>1095</v>
      </c>
      <c r="H499" s="2793"/>
      <c r="I499" s="2793">
        <v>8271</v>
      </c>
      <c r="J499" s="2793" t="s">
        <v>84</v>
      </c>
    </row>
    <row r="500" spans="2:10">
      <c r="B500" s="2793">
        <v>8275</v>
      </c>
      <c r="C500" s="2793" t="s">
        <v>1195</v>
      </c>
      <c r="D500" s="2793">
        <v>-1</v>
      </c>
      <c r="E500" s="2793" t="s">
        <v>331</v>
      </c>
      <c r="F500" s="2793" t="s">
        <v>5699</v>
      </c>
      <c r="G500" s="2793" t="s">
        <v>1114</v>
      </c>
      <c r="H500" s="2793"/>
      <c r="I500" s="2793">
        <v>8275</v>
      </c>
      <c r="J500" s="2793" t="s">
        <v>84</v>
      </c>
    </row>
    <row r="501" spans="2:10">
      <c r="B501" s="2793">
        <v>8276</v>
      </c>
      <c r="C501" s="2793" t="s">
        <v>1197</v>
      </c>
      <c r="D501" s="2793">
        <v>-1</v>
      </c>
      <c r="E501" s="2793" t="s">
        <v>999</v>
      </c>
      <c r="F501" s="2793" t="s">
        <v>5699</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5699</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5700</v>
      </c>
      <c r="G514" s="2793" t="s">
        <v>985</v>
      </c>
      <c r="H514" s="2793"/>
      <c r="I514" s="2793">
        <v>8301</v>
      </c>
      <c r="J514" s="2793" t="s">
        <v>84</v>
      </c>
    </row>
    <row r="515" spans="2:10">
      <c r="B515" s="2793">
        <v>8302</v>
      </c>
      <c r="C515" s="2793" t="s">
        <v>1222</v>
      </c>
      <c r="D515" s="2793">
        <v>1</v>
      </c>
      <c r="E515" s="2793"/>
      <c r="F515" s="2793" t="s">
        <v>5700</v>
      </c>
      <c r="G515" s="2793" t="s">
        <v>991</v>
      </c>
      <c r="H515" s="2793"/>
      <c r="I515" s="2793">
        <v>8302</v>
      </c>
      <c r="J515" s="2793" t="s">
        <v>84</v>
      </c>
    </row>
    <row r="516" spans="2:10">
      <c r="B516" s="2793">
        <v>8303</v>
      </c>
      <c r="C516" s="2793" t="s">
        <v>1227</v>
      </c>
      <c r="D516" s="2793">
        <v>1</v>
      </c>
      <c r="E516" s="2793"/>
      <c r="F516" s="2793" t="s">
        <v>5700</v>
      </c>
      <c r="G516" s="2793" t="s">
        <v>997</v>
      </c>
      <c r="H516" s="2793"/>
      <c r="I516" s="2793">
        <v>8303</v>
      </c>
      <c r="J516" s="2793" t="s">
        <v>84</v>
      </c>
    </row>
    <row r="517" spans="2:10">
      <c r="B517" s="2793">
        <v>8304</v>
      </c>
      <c r="C517" s="2793" t="s">
        <v>1232</v>
      </c>
      <c r="D517" s="2793">
        <v>1</v>
      </c>
      <c r="E517" s="2793" t="s">
        <v>708</v>
      </c>
      <c r="F517" s="2793" t="s">
        <v>5700</v>
      </c>
      <c r="G517" s="2793" t="s">
        <v>1004</v>
      </c>
      <c r="H517" s="2793"/>
      <c r="I517" s="2793">
        <v>8304</v>
      </c>
      <c r="J517" s="2793" t="s">
        <v>84</v>
      </c>
    </row>
    <row r="518" spans="2:10">
      <c r="B518" s="2793">
        <v>8309</v>
      </c>
      <c r="C518" s="2793" t="s">
        <v>1239</v>
      </c>
      <c r="D518" s="2793">
        <v>1</v>
      </c>
      <c r="E518" s="2793" t="s">
        <v>999</v>
      </c>
      <c r="F518" s="2793" t="s">
        <v>5700</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5700</v>
      </c>
      <c r="G522" s="2793" t="s">
        <v>1182</v>
      </c>
      <c r="H522" s="2793"/>
      <c r="I522" s="2793">
        <v>8351</v>
      </c>
      <c r="J522" s="2793" t="s">
        <v>84</v>
      </c>
    </row>
    <row r="523" spans="2:10">
      <c r="B523" s="2793">
        <v>8352</v>
      </c>
      <c r="C523" s="2793" t="s">
        <v>1263</v>
      </c>
      <c r="D523" s="2793">
        <v>1</v>
      </c>
      <c r="E523" s="2793" t="s">
        <v>999</v>
      </c>
      <c r="F523" s="2793" t="s">
        <v>5700</v>
      </c>
      <c r="G523" s="2793" t="s">
        <v>1055</v>
      </c>
      <c r="H523" s="2793"/>
      <c r="I523" s="2793">
        <v>8352</v>
      </c>
      <c r="J523" s="2793" t="s">
        <v>84</v>
      </c>
    </row>
    <row r="524" spans="2:10">
      <c r="B524" s="2793">
        <v>8353</v>
      </c>
      <c r="C524" s="2793" t="s">
        <v>1268</v>
      </c>
      <c r="D524" s="2793">
        <v>1</v>
      </c>
      <c r="E524" s="2793" t="s">
        <v>331</v>
      </c>
      <c r="F524" s="2793" t="s">
        <v>5700</v>
      </c>
      <c r="G524" s="2793" t="s">
        <v>1049</v>
      </c>
      <c r="H524" s="2793"/>
      <c r="I524" s="2793">
        <v>8353</v>
      </c>
      <c r="J524" s="2793" t="s">
        <v>84</v>
      </c>
    </row>
    <row r="525" spans="2:10">
      <c r="B525" s="2793">
        <v>8356</v>
      </c>
      <c r="C525" s="2793" t="s">
        <v>1273</v>
      </c>
      <c r="D525" s="2793">
        <v>1</v>
      </c>
      <c r="E525" s="2793" t="s">
        <v>999</v>
      </c>
      <c r="F525" s="2793" t="s">
        <v>5700</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5700</v>
      </c>
      <c r="G527" s="2793" t="s">
        <v>1081</v>
      </c>
      <c r="H527" s="2793"/>
      <c r="I527" s="2793">
        <v>8363</v>
      </c>
      <c r="J527" s="2793" t="s">
        <v>84</v>
      </c>
    </row>
    <row r="528" spans="2:10">
      <c r="B528" s="2793">
        <v>8366</v>
      </c>
      <c r="C528" s="2793" t="s">
        <v>1293</v>
      </c>
      <c r="D528" s="2793">
        <v>1</v>
      </c>
      <c r="E528" s="2793" t="s">
        <v>999</v>
      </c>
      <c r="F528" s="2793" t="s">
        <v>5700</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5700</v>
      </c>
      <c r="G530" s="2793" t="s">
        <v>1114</v>
      </c>
      <c r="H530" s="2793"/>
      <c r="I530" s="2793">
        <v>8375</v>
      </c>
      <c r="J530" s="2793" t="s">
        <v>84</v>
      </c>
    </row>
    <row r="531" spans="2:10">
      <c r="B531" s="2793">
        <v>8376</v>
      </c>
      <c r="C531" s="2793" t="s">
        <v>1320</v>
      </c>
      <c r="D531" s="2793">
        <v>1</v>
      </c>
      <c r="E531" s="2793"/>
      <c r="F531" s="2793" t="s">
        <v>5700</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5700</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5702</v>
      </c>
      <c r="G545" s="2793" t="s">
        <v>985</v>
      </c>
      <c r="H545" s="2793"/>
      <c r="I545" s="2793">
        <v>8401</v>
      </c>
      <c r="J545" s="2793" t="s">
        <v>84</v>
      </c>
    </row>
    <row r="546" spans="2:10">
      <c r="B546" s="2793">
        <v>8402</v>
      </c>
      <c r="C546" s="2793" t="s">
        <v>1350</v>
      </c>
      <c r="D546" s="2793">
        <v>-1</v>
      </c>
      <c r="E546" s="2793"/>
      <c r="F546" s="2793" t="s">
        <v>5702</v>
      </c>
      <c r="G546" s="2793" t="s">
        <v>991</v>
      </c>
      <c r="H546" s="2793"/>
      <c r="I546" s="2793">
        <v>8402</v>
      </c>
      <c r="J546" s="2793" t="s">
        <v>84</v>
      </c>
    </row>
    <row r="547" spans="2:10">
      <c r="B547" s="2793">
        <v>8403</v>
      </c>
      <c r="C547" s="2793" t="s">
        <v>1356</v>
      </c>
      <c r="D547" s="2793">
        <v>-1</v>
      </c>
      <c r="E547" s="2793"/>
      <c r="F547" s="2793" t="s">
        <v>5702</v>
      </c>
      <c r="G547" s="2793" t="s">
        <v>997</v>
      </c>
      <c r="H547" s="2793"/>
      <c r="I547" s="2793">
        <v>8403</v>
      </c>
      <c r="J547" s="2793" t="s">
        <v>84</v>
      </c>
    </row>
    <row r="548" spans="2:10">
      <c r="B548" s="2793">
        <v>8404</v>
      </c>
      <c r="C548" s="2793" t="s">
        <v>1362</v>
      </c>
      <c r="D548" s="2793">
        <v>-1</v>
      </c>
      <c r="E548" s="2793" t="s">
        <v>708</v>
      </c>
      <c r="F548" s="2793" t="s">
        <v>5702</v>
      </c>
      <c r="G548" s="2793" t="s">
        <v>1004</v>
      </c>
      <c r="H548" s="2793"/>
      <c r="I548" s="2793">
        <v>8404</v>
      </c>
      <c r="J548" s="2793" t="s">
        <v>84</v>
      </c>
    </row>
    <row r="549" spans="2:10">
      <c r="B549" s="2793">
        <v>8409</v>
      </c>
      <c r="C549" s="2793" t="s">
        <v>1368</v>
      </c>
      <c r="D549" s="2793">
        <v>-1</v>
      </c>
      <c r="E549" s="2793" t="s">
        <v>999</v>
      </c>
      <c r="F549" s="2793" t="s">
        <v>5702</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5702</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5702</v>
      </c>
      <c r="G554" s="2793" t="s">
        <v>1114</v>
      </c>
      <c r="H554" s="2793"/>
      <c r="I554" s="2793">
        <v>8475</v>
      </c>
      <c r="J554" s="2793" t="s">
        <v>84</v>
      </c>
    </row>
    <row r="555" spans="2:10">
      <c r="B555" s="2793">
        <v>8476</v>
      </c>
      <c r="C555" s="2793" t="s">
        <v>1452</v>
      </c>
      <c r="D555" s="2793">
        <v>-1</v>
      </c>
      <c r="E555" s="2793" t="s">
        <v>999</v>
      </c>
      <c r="F555" s="2793" t="s">
        <v>5702</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5702</v>
      </c>
      <c r="G558" s="2793" t="s">
        <v>1129</v>
      </c>
      <c r="H558" s="2793"/>
      <c r="I558" s="2793">
        <v>8481</v>
      </c>
      <c r="J558" s="2793" t="s">
        <v>84</v>
      </c>
    </row>
    <row r="559" spans="2:10">
      <c r="B559" s="2793">
        <v>8482</v>
      </c>
      <c r="C559" s="2793" t="s">
        <v>1468</v>
      </c>
      <c r="D559" s="2793">
        <v>-1</v>
      </c>
      <c r="E559" s="2793"/>
      <c r="F559" s="2793" t="s">
        <v>5702</v>
      </c>
      <c r="G559" s="2793" t="s">
        <v>1355</v>
      </c>
      <c r="H559" s="2793"/>
      <c r="I559" s="2793">
        <v>8482</v>
      </c>
      <c r="J559" s="2793" t="s">
        <v>84</v>
      </c>
    </row>
    <row r="560" spans="2:10">
      <c r="B560" s="2793">
        <v>8496</v>
      </c>
      <c r="C560" s="2793" t="s">
        <v>1473</v>
      </c>
      <c r="D560" s="2793">
        <v>-1</v>
      </c>
      <c r="E560" s="2793" t="s">
        <v>999</v>
      </c>
      <c r="F560" s="2793" t="s">
        <v>5702</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c r="B608" s="2805">
        <v>8602</v>
      </c>
      <c r="C608" s="2793" t="s">
        <v>1607</v>
      </c>
      <c r="D608" s="2793">
        <v>-1</v>
      </c>
      <c r="E608" s="2793"/>
      <c r="F608" s="2793"/>
      <c r="G608" s="2793" t="s">
        <v>991</v>
      </c>
      <c r="H608" s="2793"/>
      <c r="I608" s="2805">
        <v>8602</v>
      </c>
      <c r="J608" s="2793" t="s">
        <v>84</v>
      </c>
    </row>
    <row r="609" spans="2:10">
      <c r="B609" s="2805">
        <v>8603</v>
      </c>
      <c r="C609" s="2793" t="s">
        <v>1611</v>
      </c>
      <c r="D609" s="2793">
        <v>-1</v>
      </c>
      <c r="E609" s="2793"/>
      <c r="F609" s="2793"/>
      <c r="G609" s="2793" t="s">
        <v>997</v>
      </c>
      <c r="H609" s="2793"/>
      <c r="I609" s="2805">
        <v>8603</v>
      </c>
      <c r="J609" s="2793" t="s">
        <v>84</v>
      </c>
    </row>
    <row r="610" spans="2:10">
      <c r="B610" s="2805">
        <v>8604</v>
      </c>
      <c r="C610" s="2793" t="s">
        <v>1616</v>
      </c>
      <c r="D610" s="2793">
        <v>-1</v>
      </c>
      <c r="E610" s="2793" t="s">
        <v>708</v>
      </c>
      <c r="F610" s="2793"/>
      <c r="G610" s="2793" t="s">
        <v>1004</v>
      </c>
      <c r="H610" s="2793"/>
      <c r="I610" s="2805">
        <v>8604</v>
      </c>
      <c r="J610" s="2793" t="s">
        <v>84</v>
      </c>
    </row>
    <row r="611" spans="2:10">
      <c r="B611" s="2805">
        <v>8609</v>
      </c>
      <c r="C611" s="2793" t="s">
        <v>1620</v>
      </c>
      <c r="D611" s="2793">
        <v>-1</v>
      </c>
      <c r="E611" s="2793" t="s">
        <v>999</v>
      </c>
      <c r="F611" s="2793"/>
      <c r="G611" s="2793" t="s">
        <v>932</v>
      </c>
      <c r="H611" s="2793"/>
      <c r="I611" s="2805">
        <v>8609</v>
      </c>
      <c r="J611" s="2793" t="s">
        <v>84</v>
      </c>
    </row>
    <row r="612" spans="2:10">
      <c r="B612" s="2805">
        <v>8610</v>
      </c>
      <c r="C612" s="2793" t="s">
        <v>2087</v>
      </c>
      <c r="D612" s="2793"/>
      <c r="E612" s="2793" t="s">
        <v>287</v>
      </c>
      <c r="F612" s="2793"/>
      <c r="G612" s="2793" t="s">
        <v>1013</v>
      </c>
      <c r="H612" s="2793"/>
      <c r="I612" s="2805">
        <v>8610</v>
      </c>
      <c r="J612" s="2793"/>
    </row>
    <row r="613" spans="2:10">
      <c r="B613" s="2805">
        <v>8690</v>
      </c>
      <c r="C613" s="2793" t="s">
        <v>2090</v>
      </c>
      <c r="D613" s="2793"/>
      <c r="E613" s="2793" t="s">
        <v>287</v>
      </c>
      <c r="F613" s="2793"/>
      <c r="G613" s="2793" t="s">
        <v>1172</v>
      </c>
      <c r="H613" s="2793"/>
      <c r="I613" s="2805">
        <v>8690</v>
      </c>
      <c r="J613" s="2793"/>
    </row>
    <row r="614" spans="2:10">
      <c r="B614" s="2805">
        <v>8650</v>
      </c>
      <c r="C614" s="2793" t="s">
        <v>2093</v>
      </c>
      <c r="D614" s="2793"/>
      <c r="E614" s="2793" t="s">
        <v>287</v>
      </c>
      <c r="F614" s="2793"/>
      <c r="G614" s="2793" t="s">
        <v>1036</v>
      </c>
      <c r="H614" s="2793"/>
      <c r="I614" s="2805">
        <v>8650</v>
      </c>
      <c r="J614" s="2793"/>
    </row>
    <row r="615" spans="2:10">
      <c r="B615" s="2805">
        <v>8653</v>
      </c>
      <c r="C615" s="2793" t="s">
        <v>1651</v>
      </c>
      <c r="D615" s="2793">
        <v>-1</v>
      </c>
      <c r="E615" s="2793" t="s">
        <v>331</v>
      </c>
      <c r="F615" s="2793"/>
      <c r="G615" s="2793" t="s">
        <v>1049</v>
      </c>
      <c r="H615" s="2793"/>
      <c r="I615" s="2805">
        <v>8653</v>
      </c>
      <c r="J615" s="2793" t="s">
        <v>84</v>
      </c>
    </row>
    <row r="616" spans="2:10">
      <c r="B616" s="2805">
        <v>8656</v>
      </c>
      <c r="C616" s="2793" t="s">
        <v>1656</v>
      </c>
      <c r="D616" s="2793">
        <v>-1</v>
      </c>
      <c r="E616" s="2793" t="s">
        <v>999</v>
      </c>
      <c r="F616" s="2793"/>
      <c r="G616" s="2793" t="s">
        <v>932</v>
      </c>
      <c r="H616" s="2793"/>
      <c r="I616" s="2805">
        <v>8656</v>
      </c>
      <c r="J616" s="2793" t="s">
        <v>84</v>
      </c>
    </row>
    <row r="617" spans="2:10">
      <c r="B617" s="2805">
        <v>8660</v>
      </c>
      <c r="C617" s="2793" t="s">
        <v>2102</v>
      </c>
      <c r="D617" s="2793"/>
      <c r="E617" s="2793" t="s">
        <v>287</v>
      </c>
      <c r="F617" s="2793"/>
      <c r="G617" s="2793" t="s">
        <v>1066</v>
      </c>
      <c r="H617" s="2793"/>
      <c r="I617" s="2805">
        <v>8660</v>
      </c>
      <c r="J617" s="2793"/>
    </row>
    <row r="618" spans="2:10">
      <c r="B618" s="2805">
        <v>8662</v>
      </c>
      <c r="C618" s="2793" t="s">
        <v>1666</v>
      </c>
      <c r="D618" s="2793">
        <v>-1</v>
      </c>
      <c r="E618" s="2793"/>
      <c r="F618" s="2793"/>
      <c r="G618" s="2793" t="s">
        <v>1076</v>
      </c>
      <c r="H618" s="2793"/>
      <c r="I618" s="2805">
        <v>8662</v>
      </c>
      <c r="J618" s="2793" t="s">
        <v>84</v>
      </c>
    </row>
    <row r="619" spans="2:10">
      <c r="B619" s="2805">
        <v>8666</v>
      </c>
      <c r="C619" s="2793" t="s">
        <v>1676</v>
      </c>
      <c r="D619" s="2793">
        <v>-1</v>
      </c>
      <c r="E619" s="2793" t="s">
        <v>999</v>
      </c>
      <c r="F619" s="2793"/>
      <c r="G619" s="2793" t="s">
        <v>932</v>
      </c>
      <c r="H619" s="2793"/>
      <c r="I619" s="2805">
        <v>8666</v>
      </c>
      <c r="J619" s="2793" t="s">
        <v>84</v>
      </c>
    </row>
    <row r="620" spans="2:10">
      <c r="B620" s="2805">
        <v>8670</v>
      </c>
      <c r="C620" s="2793" t="s">
        <v>2110</v>
      </c>
      <c r="D620" s="2793"/>
      <c r="E620" s="2793" t="s">
        <v>287</v>
      </c>
      <c r="F620" s="2793"/>
      <c r="G620" s="2793" t="s">
        <v>1188</v>
      </c>
      <c r="H620" s="2793"/>
      <c r="I620" s="2805">
        <v>8670</v>
      </c>
      <c r="J620" s="2793"/>
    </row>
    <row r="621" spans="2:10">
      <c r="B621" s="2805">
        <v>8675</v>
      </c>
      <c r="C621" s="2793" t="s">
        <v>1696</v>
      </c>
      <c r="D621" s="2793">
        <v>-1</v>
      </c>
      <c r="E621" s="2793" t="s">
        <v>331</v>
      </c>
      <c r="F621" s="2793"/>
      <c r="G621" s="2793" t="s">
        <v>1114</v>
      </c>
      <c r="H621" s="2793"/>
      <c r="I621" s="2805">
        <v>8675</v>
      </c>
      <c r="J621" s="2793" t="s">
        <v>84</v>
      </c>
    </row>
    <row r="622" spans="2:10">
      <c r="B622" s="2805">
        <v>8676</v>
      </c>
      <c r="C622" s="2793" t="s">
        <v>1701</v>
      </c>
      <c r="D622" s="2793">
        <v>-1</v>
      </c>
      <c r="E622" s="2793"/>
      <c r="F622" s="2793"/>
      <c r="G622" s="2793" t="s">
        <v>932</v>
      </c>
      <c r="H622" s="2793"/>
      <c r="I622" s="2805">
        <v>8676</v>
      </c>
      <c r="J622" s="2793" t="s">
        <v>84</v>
      </c>
    </row>
    <row r="623" spans="2:10">
      <c r="B623" s="2805">
        <v>8677</v>
      </c>
      <c r="C623" s="2793" t="s">
        <v>1706</v>
      </c>
      <c r="D623" s="2793">
        <v>-1</v>
      </c>
      <c r="E623" s="2793" t="s">
        <v>119</v>
      </c>
      <c r="F623" s="2793"/>
      <c r="G623" s="2793" t="s">
        <v>2416</v>
      </c>
      <c r="H623" s="2793" t="s">
        <v>2416</v>
      </c>
      <c r="I623" s="2805">
        <v>8677</v>
      </c>
      <c r="J623" s="2793" t="s">
        <v>84</v>
      </c>
    </row>
    <row r="624" spans="2:10">
      <c r="B624" s="2805">
        <v>8696</v>
      </c>
      <c r="C624" s="2793" t="s">
        <v>1721</v>
      </c>
      <c r="D624" s="2793">
        <v>-1</v>
      </c>
      <c r="E624" s="2793" t="s">
        <v>999</v>
      </c>
      <c r="F624" s="2793"/>
      <c r="G624" s="2793" t="s">
        <v>1203</v>
      </c>
      <c r="H624" s="2793"/>
      <c r="I624" s="2805">
        <v>8696</v>
      </c>
      <c r="J624" s="2793" t="s">
        <v>84</v>
      </c>
    </row>
    <row r="625" spans="2:10">
      <c r="B625" s="2805">
        <v>8699</v>
      </c>
      <c r="C625" s="2793" t="s">
        <v>2119</v>
      </c>
      <c r="D625" s="2793"/>
      <c r="E625" s="2793" t="s">
        <v>287</v>
      </c>
      <c r="F625" s="2793"/>
      <c r="G625" s="2793" t="s">
        <v>1208</v>
      </c>
      <c r="H625" s="2793"/>
      <c r="I625" s="2805">
        <v>8699</v>
      </c>
      <c r="J625" s="2793"/>
    </row>
    <row r="626" spans="2:10">
      <c r="B626" s="2805">
        <v>8651</v>
      </c>
      <c r="C626" s="2793" t="s">
        <v>1641</v>
      </c>
      <c r="D626" s="2793">
        <v>-1</v>
      </c>
      <c r="E626" s="2793" t="s">
        <v>213</v>
      </c>
      <c r="F626" s="2793"/>
      <c r="G626" s="2793" t="s">
        <v>1182</v>
      </c>
      <c r="H626" s="2793"/>
      <c r="I626" s="2805">
        <v>8651</v>
      </c>
      <c r="J626" s="2793" t="s">
        <v>84</v>
      </c>
    </row>
    <row r="627" spans="2:10">
      <c r="B627" s="2805">
        <v>8652</v>
      </c>
      <c r="C627" s="2793" t="s">
        <v>1646</v>
      </c>
      <c r="D627" s="2793">
        <v>-1</v>
      </c>
      <c r="E627" s="2793" t="s">
        <v>213</v>
      </c>
      <c r="F627" s="2793"/>
      <c r="G627" s="2793" t="s">
        <v>1055</v>
      </c>
      <c r="H627" s="2793"/>
      <c r="I627" s="2805">
        <v>8652</v>
      </c>
      <c r="J627" s="2793" t="s">
        <v>84</v>
      </c>
    </row>
    <row r="628" spans="2:10">
      <c r="B628" s="2805">
        <v>8661</v>
      </c>
      <c r="C628" s="2793" t="s">
        <v>1661</v>
      </c>
      <c r="D628" s="2793">
        <v>-1</v>
      </c>
      <c r="E628" s="2793" t="s">
        <v>213</v>
      </c>
      <c r="F628" s="2793"/>
      <c r="G628" s="2793" t="s">
        <v>1071</v>
      </c>
      <c r="H628" s="2793"/>
      <c r="I628" s="2805">
        <v>8661</v>
      </c>
      <c r="J628" s="2793" t="s">
        <v>84</v>
      </c>
    </row>
    <row r="629" spans="2:10">
      <c r="B629" s="2805">
        <v>8663</v>
      </c>
      <c r="C629" s="2793" t="s">
        <v>1670</v>
      </c>
      <c r="D629" s="2793">
        <v>-1</v>
      </c>
      <c r="E629" s="2793" t="s">
        <v>213</v>
      </c>
      <c r="F629" s="2793"/>
      <c r="G629" s="2793" t="s">
        <v>1081</v>
      </c>
      <c r="H629" s="2793"/>
      <c r="I629" s="2805">
        <v>8663</v>
      </c>
      <c r="J629" s="2793" t="s">
        <v>84</v>
      </c>
    </row>
    <row r="630" spans="2:10">
      <c r="B630" s="2805">
        <v>8671</v>
      </c>
      <c r="C630" s="2793" t="s">
        <v>1681</v>
      </c>
      <c r="D630" s="2793">
        <v>-1</v>
      </c>
      <c r="E630" s="2793" t="s">
        <v>213</v>
      </c>
      <c r="F630" s="2793"/>
      <c r="G630" s="2793" t="s">
        <v>1095</v>
      </c>
      <c r="H630" s="2793"/>
      <c r="I630" s="2805">
        <v>8671</v>
      </c>
      <c r="J630" s="2793" t="s">
        <v>84</v>
      </c>
    </row>
    <row r="631" spans="2:10">
      <c r="B631" s="2805">
        <v>8672</v>
      </c>
      <c r="C631" s="2793" t="s">
        <v>1686</v>
      </c>
      <c r="D631" s="2793">
        <v>-1</v>
      </c>
      <c r="E631" s="2793" t="s">
        <v>213</v>
      </c>
      <c r="F631" s="2793"/>
      <c r="G631" s="2793" t="s">
        <v>1102</v>
      </c>
      <c r="H631" s="2793"/>
      <c r="I631" s="2805">
        <v>8672</v>
      </c>
      <c r="J631" s="2793" t="s">
        <v>84</v>
      </c>
    </row>
    <row r="632" spans="2:10">
      <c r="B632" s="2805">
        <v>8673</v>
      </c>
      <c r="C632" s="2793" t="s">
        <v>1691</v>
      </c>
      <c r="D632" s="2793">
        <v>-1</v>
      </c>
      <c r="E632" s="2793" t="s">
        <v>213</v>
      </c>
      <c r="F632" s="2793"/>
      <c r="G632" s="2793" t="s">
        <v>1109</v>
      </c>
      <c r="H632" s="2793"/>
      <c r="I632" s="2805">
        <v>8673</v>
      </c>
      <c r="J632" s="2793" t="s">
        <v>84</v>
      </c>
    </row>
    <row r="633" spans="2:10">
      <c r="B633" s="2805">
        <v>8681</v>
      </c>
      <c r="C633" s="2793" t="s">
        <v>1711</v>
      </c>
      <c r="D633" s="2793">
        <v>-1</v>
      </c>
      <c r="E633" s="2793" t="s">
        <v>213</v>
      </c>
      <c r="F633" s="2793"/>
      <c r="G633" s="2793" t="s">
        <v>1129</v>
      </c>
      <c r="H633" s="2793"/>
      <c r="I633" s="2805">
        <v>8681</v>
      </c>
      <c r="J633" s="2793" t="s">
        <v>84</v>
      </c>
    </row>
    <row r="634" spans="2:10">
      <c r="B634" s="2805">
        <v>8682</v>
      </c>
      <c r="C634" s="2793" t="s">
        <v>1716</v>
      </c>
      <c r="D634" s="2793">
        <v>-1</v>
      </c>
      <c r="E634" s="2793" t="s">
        <v>213</v>
      </c>
      <c r="F634" s="2793"/>
      <c r="G634" s="2793" t="s">
        <v>1355</v>
      </c>
      <c r="H634" s="2793"/>
      <c r="I634" s="2805">
        <v>8682</v>
      </c>
      <c r="J634" s="2793" t="s">
        <v>84</v>
      </c>
    </row>
    <row r="635" spans="2:10">
      <c r="B635" s="2805">
        <v>8640</v>
      </c>
      <c r="C635" s="2793" t="s">
        <v>1636</v>
      </c>
      <c r="D635" s="2793">
        <v>-1</v>
      </c>
      <c r="E635" s="2793"/>
      <c r="F635" s="2793"/>
      <c r="G635" s="2793" t="s">
        <v>1032</v>
      </c>
      <c r="H635" s="2793"/>
      <c r="I635" s="2805">
        <v>8640</v>
      </c>
      <c r="J635" s="2793" t="s">
        <v>84</v>
      </c>
    </row>
    <row r="636" spans="2:10">
      <c r="B636" s="2805">
        <v>8680</v>
      </c>
      <c r="C636" s="2793" t="s">
        <v>2337</v>
      </c>
      <c r="D636" s="2793"/>
      <c r="E636" s="2793" t="s">
        <v>287</v>
      </c>
      <c r="F636" s="2793"/>
      <c r="G636" s="2793" t="s">
        <v>1124</v>
      </c>
      <c r="H636" s="2793"/>
      <c r="I636" s="2805">
        <v>8680</v>
      </c>
      <c r="J636" s="2793"/>
    </row>
    <row r="637" spans="2:10">
      <c r="B637" s="2805">
        <v>8700</v>
      </c>
      <c r="C637" s="2793" t="s">
        <v>2122</v>
      </c>
      <c r="D637" s="2793"/>
      <c r="E637" s="2793" t="s">
        <v>41</v>
      </c>
      <c r="F637" s="2793"/>
      <c r="G637" s="2793" t="s">
        <v>2122</v>
      </c>
      <c r="H637" s="2793"/>
      <c r="I637" s="2805">
        <v>8700</v>
      </c>
      <c r="J637" s="2793"/>
    </row>
    <row r="638" spans="2:10">
      <c r="B638" s="2805">
        <v>8701</v>
      </c>
      <c r="C638" s="2793" t="s">
        <v>1725</v>
      </c>
      <c r="D638" s="2793">
        <v>-1</v>
      </c>
      <c r="E638" s="2793"/>
      <c r="F638" s="2793" t="s">
        <v>5703</v>
      </c>
      <c r="G638" s="2793" t="s">
        <v>985</v>
      </c>
      <c r="H638" s="2793"/>
      <c r="I638" s="2805">
        <v>8701</v>
      </c>
      <c r="J638" s="2793" t="s">
        <v>84</v>
      </c>
    </row>
    <row r="639" spans="2:10">
      <c r="B639" s="2805">
        <v>8702</v>
      </c>
      <c r="C639" s="2793" t="s">
        <v>1730</v>
      </c>
      <c r="D639" s="2793">
        <v>-1</v>
      </c>
      <c r="E639" s="2793"/>
      <c r="F639" s="2793" t="s">
        <v>5703</v>
      </c>
      <c r="G639" s="2793" t="s">
        <v>991</v>
      </c>
      <c r="H639" s="2793"/>
      <c r="I639" s="2805">
        <v>8702</v>
      </c>
      <c r="J639" s="2793" t="s">
        <v>84</v>
      </c>
    </row>
    <row r="640" spans="2:10">
      <c r="B640" s="2805">
        <v>8703</v>
      </c>
      <c r="C640" s="2793" t="s">
        <v>1735</v>
      </c>
      <c r="D640" s="2793">
        <v>-1</v>
      </c>
      <c r="E640" s="2793"/>
      <c r="F640" s="2793" t="s">
        <v>5703</v>
      </c>
      <c r="G640" s="2793" t="s">
        <v>997</v>
      </c>
      <c r="H640" s="2793"/>
      <c r="I640" s="2805">
        <v>8703</v>
      </c>
      <c r="J640" s="2793" t="s">
        <v>84</v>
      </c>
    </row>
    <row r="641" spans="2:10">
      <c r="B641" s="2805">
        <v>8704</v>
      </c>
      <c r="C641" s="2793" t="s">
        <v>1740</v>
      </c>
      <c r="D641" s="2793">
        <v>-1</v>
      </c>
      <c r="E641" s="2793" t="s">
        <v>708</v>
      </c>
      <c r="F641" s="2793" t="s">
        <v>5703</v>
      </c>
      <c r="G641" s="2793" t="s">
        <v>1004</v>
      </c>
      <c r="H641" s="2793"/>
      <c r="I641" s="2805">
        <v>8704</v>
      </c>
      <c r="J641" s="2793" t="s">
        <v>84</v>
      </c>
    </row>
    <row r="642" spans="2:10">
      <c r="B642" s="2805">
        <v>8709</v>
      </c>
      <c r="C642" s="2793" t="s">
        <v>1745</v>
      </c>
      <c r="D642" s="2793">
        <v>-1</v>
      </c>
      <c r="E642" s="2793"/>
      <c r="F642" s="2793" t="s">
        <v>5703</v>
      </c>
      <c r="G642" s="2793" t="s">
        <v>932</v>
      </c>
      <c r="H642" s="2793"/>
      <c r="I642" s="2805">
        <v>8709</v>
      </c>
      <c r="J642" s="2793" t="s">
        <v>84</v>
      </c>
    </row>
    <row r="643" spans="2:10">
      <c r="B643" s="2805">
        <v>8710</v>
      </c>
      <c r="C643" s="2793" t="s">
        <v>2132</v>
      </c>
      <c r="D643" s="2793"/>
      <c r="E643" s="2793" t="s">
        <v>287</v>
      </c>
      <c r="F643" s="2793"/>
      <c r="G643" s="2793" t="s">
        <v>1013</v>
      </c>
      <c r="H643" s="2793"/>
      <c r="I643" s="2805">
        <v>8710</v>
      </c>
      <c r="J643" s="2793"/>
    </row>
    <row r="644" spans="2:10">
      <c r="B644" s="2805">
        <v>8753</v>
      </c>
      <c r="C644" s="2793" t="s">
        <v>1760</v>
      </c>
      <c r="D644" s="2793">
        <v>-1</v>
      </c>
      <c r="E644" s="2793" t="s">
        <v>331</v>
      </c>
      <c r="F644" s="2793" t="s">
        <v>5703</v>
      </c>
      <c r="G644" s="2793" t="s">
        <v>1049</v>
      </c>
      <c r="H644" s="2793"/>
      <c r="I644" s="2805">
        <v>8753</v>
      </c>
      <c r="J644" s="2793" t="s">
        <v>84</v>
      </c>
    </row>
    <row r="645" spans="2:10">
      <c r="B645" s="2805">
        <v>8790</v>
      </c>
      <c r="C645" s="2793" t="s">
        <v>2137</v>
      </c>
      <c r="D645" s="2793"/>
      <c r="E645" s="2793" t="s">
        <v>287</v>
      </c>
      <c r="F645" s="2793"/>
      <c r="G645" s="2793" t="s">
        <v>1172</v>
      </c>
      <c r="H645" s="2793"/>
      <c r="I645" s="2805">
        <v>8790</v>
      </c>
      <c r="J645" s="2793"/>
    </row>
    <row r="646" spans="2:10">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5703</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5703</v>
      </c>
      <c r="G650" s="2793" t="s">
        <v>1071</v>
      </c>
      <c r="H650" s="2793"/>
      <c r="I650" s="2793">
        <v>8761</v>
      </c>
      <c r="J650" s="2793" t="s">
        <v>84</v>
      </c>
    </row>
    <row r="651" spans="2:10">
      <c r="B651" s="2793">
        <v>8762</v>
      </c>
      <c r="C651" s="2794" t="s">
        <v>1773</v>
      </c>
      <c r="D651" s="2793">
        <v>-1</v>
      </c>
      <c r="E651" s="2793"/>
      <c r="F651" s="2793" t="s">
        <v>5703</v>
      </c>
      <c r="G651" s="2793" t="s">
        <v>1076</v>
      </c>
      <c r="H651" s="2793"/>
      <c r="I651" s="2793">
        <v>8762</v>
      </c>
      <c r="J651" s="2793" t="s">
        <v>84</v>
      </c>
    </row>
    <row r="652" spans="2:10">
      <c r="B652" s="2793">
        <v>8763</v>
      </c>
      <c r="C652" s="2794" t="s">
        <v>1779</v>
      </c>
      <c r="D652" s="2793">
        <v>-1</v>
      </c>
      <c r="E652" s="2793"/>
      <c r="F652" s="2793" t="s">
        <v>5703</v>
      </c>
      <c r="G652" s="2793" t="s">
        <v>1081</v>
      </c>
      <c r="H652" s="2793"/>
      <c r="I652" s="2793">
        <v>8763</v>
      </c>
      <c r="J652" s="2793" t="s">
        <v>84</v>
      </c>
    </row>
    <row r="653" spans="2:10">
      <c r="B653" s="2793">
        <v>8766</v>
      </c>
      <c r="C653" s="2794" t="s">
        <v>1784</v>
      </c>
      <c r="D653" s="2793">
        <v>-1</v>
      </c>
      <c r="E653" s="2793"/>
      <c r="F653" s="2793" t="s">
        <v>5703</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5703</v>
      </c>
      <c r="G655" s="2793" t="s">
        <v>1109</v>
      </c>
      <c r="H655" s="2793"/>
      <c r="I655" s="2793">
        <v>8773</v>
      </c>
      <c r="J655" s="2793" t="s">
        <v>84</v>
      </c>
    </row>
    <row r="656" spans="2:10">
      <c r="B656" s="2793">
        <v>8775</v>
      </c>
      <c r="C656" s="2793" t="s">
        <v>1804</v>
      </c>
      <c r="D656" s="2793">
        <v>-1</v>
      </c>
      <c r="E656" s="2793" t="s">
        <v>331</v>
      </c>
      <c r="F656" s="2793" t="s">
        <v>5703</v>
      </c>
      <c r="G656" s="2793" t="s">
        <v>1114</v>
      </c>
      <c r="H656" s="2793"/>
      <c r="I656" s="2793">
        <v>8775</v>
      </c>
      <c r="J656" s="2793" t="s">
        <v>84</v>
      </c>
    </row>
    <row r="657" spans="2:10">
      <c r="B657" s="2793">
        <v>8776</v>
      </c>
      <c r="C657" s="2793" t="s">
        <v>1809</v>
      </c>
      <c r="D657" s="2793">
        <v>-1</v>
      </c>
      <c r="E657" s="2793"/>
      <c r="F657" s="2793" t="s">
        <v>5703</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5703</v>
      </c>
      <c r="G660" s="2793" t="s">
        <v>1129</v>
      </c>
      <c r="H660" s="2793"/>
      <c r="I660" s="2793">
        <v>8781</v>
      </c>
      <c r="J660" s="2793" t="s">
        <v>84</v>
      </c>
    </row>
    <row r="661" spans="2:10">
      <c r="B661" s="2793">
        <v>8782</v>
      </c>
      <c r="C661" s="2793" t="s">
        <v>1823</v>
      </c>
      <c r="D661" s="2793">
        <v>-1</v>
      </c>
      <c r="E661" s="2793" t="s">
        <v>999</v>
      </c>
      <c r="F661" s="2793" t="s">
        <v>5703</v>
      </c>
      <c r="G661" s="2793" t="s">
        <v>1355</v>
      </c>
      <c r="H661" s="2793"/>
      <c r="I661" s="2793">
        <v>8782</v>
      </c>
      <c r="J661" s="2793" t="s">
        <v>84</v>
      </c>
    </row>
    <row r="662" spans="2:10">
      <c r="B662" s="2793">
        <v>8796</v>
      </c>
      <c r="C662" s="2793" t="s">
        <v>1827</v>
      </c>
      <c r="D662" s="2793">
        <v>-1</v>
      </c>
      <c r="E662" s="2793" t="s">
        <v>999</v>
      </c>
      <c r="F662" s="2793" t="s">
        <v>5703</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5739</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5740</v>
      </c>
      <c r="F844" s="2795"/>
      <c r="G844" s="2795" t="s">
        <v>1023</v>
      </c>
      <c r="H844" s="2795"/>
      <c r="I844" s="2795">
        <v>8021</v>
      </c>
      <c r="J844" s="2795"/>
    </row>
    <row r="845" spans="2:10">
      <c r="B845" s="2795">
        <v>8030</v>
      </c>
      <c r="C845" s="2795" t="s">
        <v>1027</v>
      </c>
      <c r="D845" s="2795">
        <v>-1</v>
      </c>
      <c r="E845" s="2795" t="s">
        <v>5740</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5699</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5741</v>
      </c>
      <c r="G864" s="2795" t="s">
        <v>303</v>
      </c>
      <c r="H864" s="2795"/>
      <c r="I864" s="2795">
        <v>1515</v>
      </c>
      <c r="J864" s="2795" t="s">
        <v>84</v>
      </c>
    </row>
    <row r="865" spans="2:10">
      <c r="B865" s="2795">
        <v>6810</v>
      </c>
      <c r="C865" s="2795" t="s">
        <v>2397</v>
      </c>
      <c r="D865" s="2795"/>
      <c r="E865" s="2795" t="s">
        <v>5740</v>
      </c>
      <c r="F865" s="2795"/>
      <c r="G865" s="2795" t="s">
        <v>2398</v>
      </c>
      <c r="H865" s="2795" t="s">
        <v>2398</v>
      </c>
      <c r="I865" s="2795">
        <v>6810</v>
      </c>
      <c r="J865" s="2795"/>
    </row>
    <row r="866" spans="2:10">
      <c r="B866" s="2795">
        <v>6815</v>
      </c>
      <c r="C866" s="2795" t="s">
        <v>2399</v>
      </c>
      <c r="D866" s="2795"/>
      <c r="E866" s="2795" t="s">
        <v>5740</v>
      </c>
      <c r="F866" s="2795"/>
      <c r="G866" s="2795" t="s">
        <v>2400</v>
      </c>
      <c r="H866" s="2795" t="s">
        <v>2400</v>
      </c>
      <c r="I866" s="2795">
        <v>6815</v>
      </c>
      <c r="J866" s="2795"/>
    </row>
    <row r="867" spans="2:10">
      <c r="B867" s="2795">
        <v>4210</v>
      </c>
      <c r="C867" s="2795" t="s">
        <v>707</v>
      </c>
      <c r="D867" s="2795">
        <v>-1</v>
      </c>
      <c r="E867" s="2795" t="s">
        <v>5740</v>
      </c>
      <c r="F867" s="2795"/>
      <c r="G867" s="2795" t="s">
        <v>707</v>
      </c>
      <c r="H867" s="2795" t="s">
        <v>707</v>
      </c>
      <c r="I867" s="2795">
        <v>4210</v>
      </c>
      <c r="J867" s="2795"/>
    </row>
    <row r="868" spans="2:10">
      <c r="B868" s="2795">
        <v>6805</v>
      </c>
      <c r="C868" s="2795" t="s">
        <v>876</v>
      </c>
      <c r="D868" s="2795">
        <v>1</v>
      </c>
      <c r="E868" s="2795" t="s">
        <v>5742</v>
      </c>
      <c r="F868" s="2795"/>
      <c r="G868" s="2795" t="s">
        <v>877</v>
      </c>
      <c r="H868" s="2795" t="s">
        <v>877</v>
      </c>
      <c r="I868" s="2795">
        <v>6805</v>
      </c>
      <c r="J868" s="2795"/>
    </row>
    <row r="869" spans="2:10">
      <c r="B869" s="2795">
        <v>6710.11</v>
      </c>
      <c r="C869" s="2795" t="s">
        <v>844</v>
      </c>
      <c r="D869" s="2795">
        <v>-1</v>
      </c>
      <c r="E869" s="2795" t="s">
        <v>5740</v>
      </c>
      <c r="F869" s="2795"/>
      <c r="G869" s="2795" t="s">
        <v>845</v>
      </c>
      <c r="H869" s="2795" t="s">
        <v>845</v>
      </c>
      <c r="I869" s="2795">
        <v>6710.11</v>
      </c>
      <c r="J869" s="2795"/>
    </row>
    <row r="870" spans="2:10">
      <c r="B870" s="2795">
        <v>6711.01</v>
      </c>
      <c r="C870" s="2795" t="s">
        <v>856</v>
      </c>
      <c r="D870" s="2795">
        <v>1</v>
      </c>
      <c r="E870" s="2795" t="s">
        <v>5740</v>
      </c>
      <c r="F870" s="2795"/>
      <c r="G870" s="2795" t="s">
        <v>857</v>
      </c>
      <c r="H870" s="2795" t="s">
        <v>857</v>
      </c>
      <c r="I870" s="2795">
        <v>6711.01</v>
      </c>
      <c r="J870" s="2795"/>
    </row>
    <row r="871" spans="2:10">
      <c r="B871" s="2795">
        <v>7296.11</v>
      </c>
      <c r="C871" s="2795" t="s">
        <v>308</v>
      </c>
      <c r="D871" s="2795">
        <v>-1</v>
      </c>
      <c r="E871" s="2795" t="s">
        <v>5742</v>
      </c>
      <c r="F871" s="2795"/>
      <c r="G871" s="2795" t="s">
        <v>2264</v>
      </c>
      <c r="H871" s="2795" t="s">
        <v>2264</v>
      </c>
      <c r="I871" s="2795">
        <v>7296.11</v>
      </c>
      <c r="J871" s="2795"/>
    </row>
    <row r="872" spans="2:10">
      <c r="B872" s="2795">
        <v>1123</v>
      </c>
      <c r="C872" s="2795" t="s">
        <v>138</v>
      </c>
      <c r="D872" s="2795">
        <v>1</v>
      </c>
      <c r="E872" s="2795" t="s">
        <v>5740</v>
      </c>
      <c r="F872" s="2795"/>
      <c r="G872" s="2795" t="s">
        <v>138</v>
      </c>
      <c r="H872" s="2795" t="s">
        <v>138</v>
      </c>
      <c r="I872" s="2795">
        <v>1123</v>
      </c>
      <c r="J872" s="2795"/>
    </row>
    <row r="873" spans="2:10">
      <c r="B873" s="2795">
        <v>2203</v>
      </c>
      <c r="C873" s="2795" t="s">
        <v>480</v>
      </c>
      <c r="D873" s="2795">
        <v>-1</v>
      </c>
      <c r="E873" s="2795" t="s">
        <v>5740</v>
      </c>
      <c r="F873" s="2795"/>
      <c r="G873" s="2795" t="s">
        <v>480</v>
      </c>
      <c r="H873" s="2795" t="s">
        <v>480</v>
      </c>
      <c r="I873" s="2795">
        <v>2203</v>
      </c>
      <c r="J873" s="2795"/>
    </row>
    <row r="874" spans="2:10">
      <c r="B874" s="2795">
        <v>7021</v>
      </c>
      <c r="C874" s="2795" t="s">
        <v>340</v>
      </c>
      <c r="D874" s="2795">
        <v>1</v>
      </c>
      <c r="E874" s="2795" t="s">
        <v>5743</v>
      </c>
      <c r="F874" s="2795"/>
      <c r="G874" s="2795" t="s">
        <v>5744</v>
      </c>
      <c r="H874" s="2795" t="s">
        <v>5744</v>
      </c>
      <c r="I874" s="2795">
        <v>7021</v>
      </c>
      <c r="J874" s="2795"/>
    </row>
    <row r="875" spans="2:10">
      <c r="B875" s="2795">
        <v>7221</v>
      </c>
      <c r="C875" s="2795" t="s">
        <v>410</v>
      </c>
      <c r="D875" s="2795">
        <v>1</v>
      </c>
      <c r="E875" s="2795" t="s">
        <v>5743</v>
      </c>
      <c r="F875" s="2795"/>
      <c r="G875" s="2795" t="s">
        <v>410</v>
      </c>
      <c r="H875" s="2795" t="s">
        <v>410</v>
      </c>
      <c r="I875" s="2795">
        <v>7221</v>
      </c>
      <c r="J875" s="2795"/>
    </row>
  </sheetData>
  <sheetProtection algorithmName="SHA-512" hashValue="ytvCgKZdH3iOSAlnzhrodb9WVaj/bOuwHEtUvlZD9jXgnIsHTjYDzrr9VJPwwnPmMvokeF9r6osxdTP4HSlEnA==" saltValue="wyC+B0D4zZEFmHJj8d2Ql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09765625" defaultRowHeight="13"/>
  <cols>
    <col min="1" max="1" width="2.69921875" style="1330" customWidth="1"/>
    <col min="2" max="2" width="21.59765625" style="1329" customWidth="1"/>
    <col min="3" max="3" width="36.8984375" style="1329" customWidth="1"/>
    <col min="4" max="4" width="11.8984375" style="1329" customWidth="1"/>
    <col min="5" max="5" width="9.8984375" style="1329" customWidth="1"/>
    <col min="6" max="6" width="12.69921875" style="1329" customWidth="1"/>
    <col min="7" max="8" width="12.69921875" style="1330" hidden="1" customWidth="1"/>
    <col min="9" max="9" width="11.09765625" style="1329" customWidth="1"/>
    <col min="10" max="10" width="15.69921875" style="1329" customWidth="1"/>
    <col min="11" max="11" width="2.59765625" style="1329" customWidth="1"/>
    <col min="12" max="12" width="5" style="1329" customWidth="1"/>
    <col min="13" max="13" width="9.09765625" style="1"/>
    <col min="14" max="14" width="14" style="1" customWidth="1"/>
    <col min="15" max="15" width="12.69921875" style="1" customWidth="1"/>
    <col min="16" max="16" width="9.09765625" style="1"/>
    <col min="17" max="17" width="12.69921875" style="1" customWidth="1"/>
    <col min="18" max="16384" width="9.09765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7">
      <c r="A5" s="1343"/>
      <c r="B5" s="1344" t="s">
        <v>2422</v>
      </c>
      <c r="C5" s="2786" t="s">
        <v>6655</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6654</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6651</v>
      </c>
      <c r="D7" s="1345" t="s">
        <v>2436</v>
      </c>
      <c r="E7" s="1357" t="s">
        <v>2437</v>
      </c>
      <c r="F7" s="1358" t="s">
        <v>6652</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6653</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6656</v>
      </c>
      <c r="F9" s="1366">
        <v>43864</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5">
      <c r="C61" s="1419"/>
      <c r="D61" s="1419"/>
    </row>
  </sheetData>
  <sheetProtection algorithmName="SHA-512" hashValue="/KKvpBrmzkNO71HhuJcxRuyYNDaeshs6fJ3APOrwC5IDRqP6tLmpn/SvOtLqqD0vzXVYuvROIQRa798XjV1WKA==" saltValue="6/U994gCSemqbIiS4ALWFA=="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09765625" defaultRowHeight="13"/>
  <cols>
    <col min="1" max="1" width="4.296875" style="1" customWidth="1"/>
    <col min="2" max="2" width="6.296875" style="1" customWidth="1"/>
    <col min="3" max="3" width="8.69921875" style="1" customWidth="1"/>
    <col min="4" max="4" width="9.765625E-2" style="637" customWidth="1"/>
    <col min="5" max="5" width="15.69921875" style="1" customWidth="1"/>
    <col min="6" max="6" width="9.69921875" style="1" customWidth="1"/>
    <col min="7" max="7" width="12.69921875" style="1" customWidth="1"/>
    <col min="8" max="8" width="8.69921875" style="1" customWidth="1"/>
    <col min="9" max="9" width="9.765625E-2" style="637" customWidth="1"/>
    <col min="10" max="10" width="15.69921875" style="1" customWidth="1"/>
    <col min="11" max="11" width="9.69921875" style="1" customWidth="1"/>
    <col min="12" max="13" width="12.69921875" style="1" customWidth="1"/>
    <col min="14" max="14" width="10.69921875" style="1" customWidth="1"/>
    <col min="15" max="16384" width="9.09765625" style="1"/>
  </cols>
  <sheetData>
    <row r="1" spans="1:18">
      <c r="O1" s="641"/>
      <c r="P1" s="641"/>
      <c r="Q1" s="641"/>
      <c r="R1" s="641"/>
    </row>
    <row r="2" spans="1:18" ht="18" customHeight="1">
      <c r="B2" s="1244" t="s">
        <v>2520</v>
      </c>
      <c r="C2" s="1245" t="str">
        <f>IF(Lead!$C$5="","",Lead!$C$5)</f>
        <v>余江县天骏投资管理有限公司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43864</v>
      </c>
      <c r="M3" s="1286" t="s">
        <v>2524</v>
      </c>
      <c r="N3" s="2790" t="s">
        <v>6592</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9">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26">
      <c r="A9" s="30"/>
      <c r="B9" s="31" t="s">
        <v>58</v>
      </c>
      <c r="C9" s="35" t="s">
        <v>59</v>
      </c>
      <c r="D9" s="1269">
        <v>1999</v>
      </c>
      <c r="E9" s="3074" t="str">
        <f t="shared" ref="E9:E40" si="0">VLOOKUP(D9,Sheet_Items,2,0)</f>
        <v>资产</v>
      </c>
      <c r="F9" s="1270">
        <f>Area_RepDate</f>
        <v>43830</v>
      </c>
      <c r="G9" s="3079">
        <f ca="1">INDIRECT(C9&amp;"!CheckA"&amp;D9)</f>
        <v>15960.77</v>
      </c>
      <c r="H9" s="1271" t="s">
        <v>59</v>
      </c>
      <c r="I9" s="1269">
        <v>5000</v>
      </c>
      <c r="J9" s="3074" t="str">
        <f t="shared" ref="J9:J40" si="1">VLOOKUP(I9,Sheet_Items,2,0)</f>
        <v>负债和所有者权益</v>
      </c>
      <c r="K9" s="1270">
        <f>Area_RepDate</f>
        <v>43830</v>
      </c>
      <c r="L9" s="3079">
        <f ca="1">INDIRECT(H9&amp;"!CheckA"&amp;I9)</f>
        <v>15960.77</v>
      </c>
      <c r="M9" s="70">
        <f t="shared" ref="M9:M40" ca="1" si="2">ROUND(G9-L9,2)</f>
        <v>0</v>
      </c>
      <c r="N9" s="1293" t="str">
        <f t="shared" ref="N9:N40" ca="1" si="3">IF(M9=0,"√","×")</f>
        <v>√</v>
      </c>
      <c r="O9" s="641"/>
      <c r="P9" s="641"/>
      <c r="Q9" s="641"/>
      <c r="R9" s="641"/>
    </row>
    <row r="10" spans="1:18" ht="26">
      <c r="A10" s="30"/>
      <c r="B10" s="3067" t="s">
        <v>79</v>
      </c>
      <c r="C10" s="3068" t="s">
        <v>59</v>
      </c>
      <c r="D10" s="3069">
        <v>1999</v>
      </c>
      <c r="E10" s="3075" t="str">
        <f t="shared" si="0"/>
        <v>资产</v>
      </c>
      <c r="F10" s="3070">
        <f>Area_RepDate1</f>
        <v>43465</v>
      </c>
      <c r="G10" s="3080">
        <f ca="1">INDIRECT(C10&amp;"!CheckB"&amp;D10)</f>
        <v>18285.68</v>
      </c>
      <c r="H10" s="3071" t="s">
        <v>59</v>
      </c>
      <c r="I10" s="3069">
        <v>5000</v>
      </c>
      <c r="J10" s="3075" t="str">
        <f t="shared" si="1"/>
        <v>负债和所有者权益</v>
      </c>
      <c r="K10" s="3070">
        <f>Area_RepDate1</f>
        <v>43465</v>
      </c>
      <c r="L10" s="3080">
        <f ca="1">INDIRECT(H10&amp;"!CheckB"&amp;I10)</f>
        <v>18285.68</v>
      </c>
      <c r="M10" s="3072">
        <f t="shared" ca="1" si="2"/>
        <v>0</v>
      </c>
      <c r="N10" s="3073" t="str">
        <f t="shared" ca="1" si="3"/>
        <v>√</v>
      </c>
      <c r="O10" s="641"/>
      <c r="P10" s="641"/>
      <c r="Q10" s="641"/>
      <c r="R10" s="641"/>
    </row>
    <row r="11" spans="1:18" ht="39">
      <c r="A11" s="30"/>
      <c r="B11" s="3067" t="s">
        <v>96</v>
      </c>
      <c r="C11" s="3068" t="s">
        <v>97</v>
      </c>
      <c r="D11" s="3069">
        <v>6811</v>
      </c>
      <c r="E11" s="3076" t="str">
        <f t="shared" si="0"/>
        <v>归属于母公司所有者的净利润</v>
      </c>
      <c r="F11" s="3070" t="str">
        <f>Area_RepDuration</f>
        <v>2019年度</v>
      </c>
      <c r="G11" s="3081">
        <f ca="1">INDIRECT(C11&amp;"!CheckA"&amp;D11)</f>
        <v>-2324.91</v>
      </c>
      <c r="H11" s="3071" t="s">
        <v>99</v>
      </c>
      <c r="I11" s="3069">
        <v>8740</v>
      </c>
      <c r="J11" s="3076" t="str">
        <f t="shared" si="1"/>
        <v>未分配利润_综合收益总额增加权益</v>
      </c>
      <c r="K11" s="3070" t="str">
        <f>Area_RepDuration</f>
        <v>2019年度</v>
      </c>
      <c r="L11" s="3081">
        <f ca="1">INDIRECT(H11&amp;"!CheckA"&amp;I11)</f>
        <v>-2324.91</v>
      </c>
      <c r="M11" s="3072">
        <f t="shared" ca="1" si="2"/>
        <v>0</v>
      </c>
      <c r="N11" s="3073" t="str">
        <f t="shared" ca="1" si="3"/>
        <v>√</v>
      </c>
      <c r="O11" s="641"/>
      <c r="P11" s="641"/>
      <c r="Q11" s="641"/>
      <c r="R11" s="641"/>
    </row>
    <row r="12" spans="1:18" ht="39">
      <c r="A12" s="30"/>
      <c r="B12" s="3067" t="s">
        <v>115</v>
      </c>
      <c r="C12" s="3068" t="s">
        <v>97</v>
      </c>
      <c r="D12" s="3069">
        <v>6811</v>
      </c>
      <c r="E12" s="3075" t="str">
        <f t="shared" si="0"/>
        <v>归属于母公司所有者的净利润</v>
      </c>
      <c r="F12" s="3070" t="str">
        <f>Area_RepDuration1</f>
        <v>2018年度</v>
      </c>
      <c r="G12" s="3080">
        <f ca="1">INDIRECT(C12&amp;"!CheckB"&amp;D12)</f>
        <v>-1714.32</v>
      </c>
      <c r="H12" s="3071" t="s">
        <v>99</v>
      </c>
      <c r="I12" s="3069">
        <v>8740</v>
      </c>
      <c r="J12" s="3075" t="str">
        <f t="shared" si="1"/>
        <v>未分配利润_综合收益总额增加权益</v>
      </c>
      <c r="K12" s="3070" t="str">
        <f>Area_RepDuration1</f>
        <v>2018年度</v>
      </c>
      <c r="L12" s="3080">
        <f ca="1">INDIRECT(H12&amp;"!CheckB"&amp;I12)</f>
        <v>-1714.32</v>
      </c>
      <c r="M12" s="3072">
        <f t="shared" ca="1" si="2"/>
        <v>0</v>
      </c>
      <c r="N12" s="3073" t="str">
        <f t="shared" ca="1" si="3"/>
        <v>√</v>
      </c>
      <c r="O12" s="641"/>
      <c r="P12" s="641"/>
      <c r="Q12" s="641"/>
      <c r="R12" s="641"/>
    </row>
    <row r="13" spans="1:18" ht="39">
      <c r="A13" s="30"/>
      <c r="B13" s="3067" t="s">
        <v>130</v>
      </c>
      <c r="C13" s="3068" t="s">
        <v>97</v>
      </c>
      <c r="D13" s="3069">
        <v>6839</v>
      </c>
      <c r="E13" s="3076" t="str">
        <f t="shared" si="0"/>
        <v>综合收益总额</v>
      </c>
      <c r="F13" s="3070" t="str">
        <f>Area_RepDuration</f>
        <v>2019年度</v>
      </c>
      <c r="G13" s="3081">
        <f ca="1">INDIRECT(C13&amp;"!CheckA"&amp;D13)</f>
        <v>-2324.91</v>
      </c>
      <c r="H13" s="3071" t="s">
        <v>99</v>
      </c>
      <c r="I13" s="3069">
        <v>8040</v>
      </c>
      <c r="J13" s="3076" t="str">
        <f t="shared" si="1"/>
        <v>所有者权益_综合收益总额增加权益</v>
      </c>
      <c r="K13" s="3070" t="str">
        <f>Area_RepDuration</f>
        <v>2019年度</v>
      </c>
      <c r="L13" s="3081">
        <f ca="1">INDIRECT(H13&amp;"!CheckA"&amp;I13)</f>
        <v>-2324.91</v>
      </c>
      <c r="M13" s="3072">
        <f t="shared" ca="1" si="2"/>
        <v>0</v>
      </c>
      <c r="N13" s="3073" t="str">
        <f t="shared" ca="1" si="3"/>
        <v>√</v>
      </c>
      <c r="O13" s="641"/>
      <c r="P13" s="641"/>
      <c r="Q13" s="641"/>
      <c r="R13" s="641"/>
    </row>
    <row r="14" spans="1:18" ht="39">
      <c r="A14" s="30"/>
      <c r="B14" s="3067" t="s">
        <v>143</v>
      </c>
      <c r="C14" s="3068" t="s">
        <v>97</v>
      </c>
      <c r="D14" s="3069">
        <v>6839</v>
      </c>
      <c r="E14" s="3075" t="str">
        <f t="shared" si="0"/>
        <v>综合收益总额</v>
      </c>
      <c r="F14" s="3070" t="str">
        <f>Area_RepDuration1</f>
        <v>2018年度</v>
      </c>
      <c r="G14" s="3080">
        <f ca="1">INDIRECT(C14&amp;"!CheckB"&amp;D14)</f>
        <v>-1714.32</v>
      </c>
      <c r="H14" s="3071" t="s">
        <v>99</v>
      </c>
      <c r="I14" s="3069">
        <v>8040</v>
      </c>
      <c r="J14" s="3075" t="str">
        <f t="shared" si="1"/>
        <v>所有者权益_综合收益总额增加权益</v>
      </c>
      <c r="K14" s="3070" t="str">
        <f>Area_RepDuration1</f>
        <v>2018年度</v>
      </c>
      <c r="L14" s="3080">
        <f ca="1">INDIRECT(H14&amp;"!CheckB"&amp;I14)</f>
        <v>-1714.32</v>
      </c>
      <c r="M14" s="3072">
        <f t="shared" ca="1" si="2"/>
        <v>0</v>
      </c>
      <c r="N14" s="3073" t="str">
        <f t="shared" ca="1" si="3"/>
        <v>√</v>
      </c>
      <c r="O14" s="641"/>
      <c r="P14" s="641"/>
      <c r="Q14" s="641"/>
      <c r="R14" s="641"/>
    </row>
    <row r="15" spans="1:18" ht="39">
      <c r="A15" s="30"/>
      <c r="B15" s="3067" t="s">
        <v>155</v>
      </c>
      <c r="C15" s="3068" t="s">
        <v>97</v>
      </c>
      <c r="D15" s="3069">
        <v>6842</v>
      </c>
      <c r="E15" s="3076" t="str">
        <f t="shared" si="0"/>
        <v>归属于少数股东的综合收益总额</v>
      </c>
      <c r="F15" s="3070" t="str">
        <f>Area_RepDuration</f>
        <v>2019年度</v>
      </c>
      <c r="G15" s="3081">
        <f ca="1">INDIRECT(C15&amp;"!CheckA"&amp;D15)</f>
        <v>0</v>
      </c>
      <c r="H15" s="3071" t="s">
        <v>99</v>
      </c>
      <c r="I15" s="3069">
        <v>8940</v>
      </c>
      <c r="J15" s="3076" t="str">
        <f t="shared" si="1"/>
        <v>少数股东权益_综合收益总额增加权益</v>
      </c>
      <c r="K15" s="3070" t="str">
        <f>Area_RepDuration</f>
        <v>2019年度</v>
      </c>
      <c r="L15" s="3081">
        <f ca="1">INDIRECT(H15&amp;"!CheckA"&amp;I15)</f>
        <v>0</v>
      </c>
      <c r="M15" s="3072">
        <f t="shared" ca="1" si="2"/>
        <v>0</v>
      </c>
      <c r="N15" s="3073" t="str">
        <f t="shared" ca="1" si="3"/>
        <v>√</v>
      </c>
      <c r="O15" s="641"/>
      <c r="P15" s="641"/>
      <c r="Q15" s="641"/>
      <c r="R15" s="641"/>
    </row>
    <row r="16" spans="1:18" ht="39">
      <c r="A16" s="30"/>
      <c r="B16" s="3067" t="s">
        <v>166</v>
      </c>
      <c r="C16" s="3068" t="s">
        <v>97</v>
      </c>
      <c r="D16" s="3069">
        <v>6842</v>
      </c>
      <c r="E16" s="3075" t="str">
        <f t="shared" si="0"/>
        <v>归属于少数股东的综合收益总额</v>
      </c>
      <c r="F16" s="3070" t="str">
        <f>Area_RepDuration1</f>
        <v>2018年度</v>
      </c>
      <c r="G16" s="3080">
        <f ca="1">INDIRECT(C16&amp;"!CheckB"&amp;D16)</f>
        <v>0</v>
      </c>
      <c r="H16" s="3071" t="s">
        <v>99</v>
      </c>
      <c r="I16" s="3069">
        <v>8940</v>
      </c>
      <c r="J16" s="3075" t="str">
        <f t="shared" si="1"/>
        <v>少数股东权益_综合收益总额增加权益</v>
      </c>
      <c r="K16" s="3070" t="str">
        <f t="shared" ref="K16:K25" si="4">Area_RepDuration1</f>
        <v>2018年度</v>
      </c>
      <c r="L16" s="3080">
        <f t="shared" ref="L16:L25" ca="1" si="5">INDIRECT(H16&amp;"!CheckB"&amp;I16)</f>
        <v>0</v>
      </c>
      <c r="M16" s="3072">
        <f t="shared" ca="1" si="2"/>
        <v>0</v>
      </c>
      <c r="N16" s="3073" t="str">
        <f t="shared" ca="1" si="3"/>
        <v>√</v>
      </c>
      <c r="O16" s="641"/>
      <c r="P16" s="641"/>
      <c r="Q16" s="641"/>
      <c r="R16" s="641"/>
    </row>
    <row r="17" spans="1:18" ht="26">
      <c r="A17" s="30"/>
      <c r="B17" s="3067" t="s">
        <v>175</v>
      </c>
      <c r="C17" s="3068" t="s">
        <v>99</v>
      </c>
      <c r="D17" s="3069">
        <v>8110</v>
      </c>
      <c r="E17" s="3076" t="str">
        <f t="shared" si="0"/>
        <v>实收资本_本年年初余额</v>
      </c>
      <c r="F17" s="3070" t="str">
        <f t="shared" ref="F17:F26" si="6">Area_RepDuration</f>
        <v>2019年度</v>
      </c>
      <c r="G17" s="3081">
        <f t="shared" ref="G17:G26" ca="1" si="7">INDIRECT(C17&amp;"!CheckA"&amp;D17)</f>
        <v>0</v>
      </c>
      <c r="H17" s="3071" t="s">
        <v>99</v>
      </c>
      <c r="I17" s="3069">
        <v>8199</v>
      </c>
      <c r="J17" s="3075" t="str">
        <f t="shared" si="1"/>
        <v>实收资本_本期期末余额</v>
      </c>
      <c r="K17" s="3070" t="str">
        <f t="shared" si="4"/>
        <v>2018年度</v>
      </c>
      <c r="L17" s="3080">
        <f t="shared" ca="1" si="5"/>
        <v>0</v>
      </c>
      <c r="M17" s="3072">
        <f t="shared" ca="1" si="2"/>
        <v>0</v>
      </c>
      <c r="N17" s="3073" t="str">
        <f t="shared" ca="1" si="3"/>
        <v>√</v>
      </c>
      <c r="O17" s="641"/>
      <c r="P17" s="641"/>
      <c r="Q17" s="641"/>
      <c r="R17" s="641"/>
    </row>
    <row r="18" spans="1:18" ht="26">
      <c r="A18" s="30"/>
      <c r="B18" s="3067" t="s">
        <v>184</v>
      </c>
      <c r="C18" s="3068" t="s">
        <v>99</v>
      </c>
      <c r="D18" s="3069">
        <v>8210</v>
      </c>
      <c r="E18" s="3076" t="str">
        <f t="shared" si="0"/>
        <v>资本公积_本年年初余额</v>
      </c>
      <c r="F18" s="3070" t="str">
        <f t="shared" si="6"/>
        <v>2019年度</v>
      </c>
      <c r="G18" s="3081">
        <f t="shared" ca="1" si="7"/>
        <v>0</v>
      </c>
      <c r="H18" s="3071" t="s">
        <v>99</v>
      </c>
      <c r="I18" s="3069">
        <v>8299</v>
      </c>
      <c r="J18" s="3075" t="str">
        <f t="shared" si="1"/>
        <v>资本公积_本期期末余额</v>
      </c>
      <c r="K18" s="3070" t="str">
        <f t="shared" si="4"/>
        <v>2018年度</v>
      </c>
      <c r="L18" s="3080">
        <f t="shared" ca="1" si="5"/>
        <v>0</v>
      </c>
      <c r="M18" s="3072">
        <f t="shared" ca="1" si="2"/>
        <v>0</v>
      </c>
      <c r="N18" s="3073" t="str">
        <f t="shared" ca="1" si="3"/>
        <v>√</v>
      </c>
      <c r="O18" s="641"/>
      <c r="P18" s="641"/>
      <c r="Q18" s="641"/>
      <c r="R18" s="641"/>
    </row>
    <row r="19" spans="1:18" ht="26">
      <c r="A19" s="30"/>
      <c r="B19" s="3067" t="s">
        <v>195</v>
      </c>
      <c r="C19" s="3068" t="s">
        <v>99</v>
      </c>
      <c r="D19" s="3069">
        <v>8310</v>
      </c>
      <c r="E19" s="3076" t="str">
        <f t="shared" si="0"/>
        <v>库存股_本年年初余额</v>
      </c>
      <c r="F19" s="3070" t="str">
        <f t="shared" si="6"/>
        <v>2019年度</v>
      </c>
      <c r="G19" s="3081">
        <f t="shared" ca="1" si="7"/>
        <v>0</v>
      </c>
      <c r="H19" s="3071" t="s">
        <v>99</v>
      </c>
      <c r="I19" s="3069">
        <v>8399</v>
      </c>
      <c r="J19" s="3075" t="str">
        <f t="shared" si="1"/>
        <v>库存股_本期期末余额</v>
      </c>
      <c r="K19" s="3070" t="str">
        <f t="shared" si="4"/>
        <v>2018年度</v>
      </c>
      <c r="L19" s="3080">
        <f t="shared" ca="1" si="5"/>
        <v>0</v>
      </c>
      <c r="M19" s="3072">
        <f t="shared" ca="1" si="2"/>
        <v>0</v>
      </c>
      <c r="N19" s="3073" t="str">
        <f t="shared" ca="1" si="3"/>
        <v>√</v>
      </c>
      <c r="O19" s="641"/>
      <c r="P19" s="641"/>
      <c r="Q19" s="641"/>
      <c r="R19" s="641"/>
    </row>
    <row r="20" spans="1:18" ht="26">
      <c r="A20" s="30"/>
      <c r="B20" s="3067" t="s">
        <v>204</v>
      </c>
      <c r="C20" s="3068" t="s">
        <v>99</v>
      </c>
      <c r="D20" s="3069">
        <v>8410</v>
      </c>
      <c r="E20" s="3076" t="str">
        <f t="shared" si="0"/>
        <v>专项储备_本年年初余额</v>
      </c>
      <c r="F20" s="3070" t="str">
        <f t="shared" si="6"/>
        <v>2019年度</v>
      </c>
      <c r="G20" s="3081">
        <f t="shared" ca="1" si="7"/>
        <v>0</v>
      </c>
      <c r="H20" s="3071" t="s">
        <v>99</v>
      </c>
      <c r="I20" s="3069">
        <v>8499</v>
      </c>
      <c r="J20" s="3075" t="str">
        <f t="shared" si="1"/>
        <v>专项储备_本期期末余额</v>
      </c>
      <c r="K20" s="3070" t="str">
        <f t="shared" si="4"/>
        <v>2018年度</v>
      </c>
      <c r="L20" s="3080">
        <f t="shared" ca="1" si="5"/>
        <v>0</v>
      </c>
      <c r="M20" s="3072">
        <f t="shared" ca="1" si="2"/>
        <v>0</v>
      </c>
      <c r="N20" s="3073" t="str">
        <f t="shared" ca="1" si="3"/>
        <v>√</v>
      </c>
      <c r="O20" s="641"/>
      <c r="P20" s="641"/>
      <c r="Q20" s="641"/>
      <c r="R20" s="641"/>
    </row>
    <row r="21" spans="1:18" ht="26">
      <c r="A21" s="30"/>
      <c r="B21" s="3067" t="s">
        <v>214</v>
      </c>
      <c r="C21" s="3068" t="s">
        <v>99</v>
      </c>
      <c r="D21" s="3069">
        <v>8510</v>
      </c>
      <c r="E21" s="3076" t="str">
        <f t="shared" si="0"/>
        <v>盈余公积_本年年初余额</v>
      </c>
      <c r="F21" s="3070" t="str">
        <f t="shared" si="6"/>
        <v>2019年度</v>
      </c>
      <c r="G21" s="3081">
        <f t="shared" ca="1" si="7"/>
        <v>0</v>
      </c>
      <c r="H21" s="3071" t="s">
        <v>99</v>
      </c>
      <c r="I21" s="3069">
        <v>8599</v>
      </c>
      <c r="J21" s="3075" t="str">
        <f t="shared" si="1"/>
        <v>盈余公积_本期期末余额</v>
      </c>
      <c r="K21" s="3070" t="str">
        <f t="shared" si="4"/>
        <v>2018年度</v>
      </c>
      <c r="L21" s="3080">
        <f t="shared" ca="1" si="5"/>
        <v>0</v>
      </c>
      <c r="M21" s="3072">
        <f t="shared" ca="1" si="2"/>
        <v>0</v>
      </c>
      <c r="N21" s="3073" t="str">
        <f t="shared" ca="1" si="3"/>
        <v>√</v>
      </c>
      <c r="O21" s="641"/>
      <c r="P21" s="641"/>
      <c r="Q21" s="641"/>
      <c r="R21" s="641"/>
    </row>
    <row r="22" spans="1:18" ht="26">
      <c r="A22" s="30"/>
      <c r="B22" s="3067" t="s">
        <v>224</v>
      </c>
      <c r="C22" s="3068" t="s">
        <v>99</v>
      </c>
      <c r="D22" s="3069">
        <v>8610</v>
      </c>
      <c r="E22" s="3076" t="str">
        <f t="shared" si="0"/>
        <v>一般风险准备_本年年初余额</v>
      </c>
      <c r="F22" s="3070" t="str">
        <f t="shared" si="6"/>
        <v>2019年度</v>
      </c>
      <c r="G22" s="3081">
        <f t="shared" ca="1" si="7"/>
        <v>0</v>
      </c>
      <c r="H22" s="3071" t="s">
        <v>99</v>
      </c>
      <c r="I22" s="3069">
        <v>8699</v>
      </c>
      <c r="J22" s="3075" t="str">
        <f t="shared" si="1"/>
        <v>一般风险准备_本期期末余额</v>
      </c>
      <c r="K22" s="3070" t="str">
        <f t="shared" si="4"/>
        <v>2018年度</v>
      </c>
      <c r="L22" s="3080">
        <f t="shared" ca="1" si="5"/>
        <v>0</v>
      </c>
      <c r="M22" s="3072">
        <f t="shared" ca="1" si="2"/>
        <v>0</v>
      </c>
      <c r="N22" s="3073" t="str">
        <f t="shared" ca="1" si="3"/>
        <v>√</v>
      </c>
      <c r="O22" s="641"/>
      <c r="P22" s="641"/>
      <c r="Q22" s="641"/>
      <c r="R22" s="641"/>
    </row>
    <row r="23" spans="1:18" ht="26">
      <c r="A23" s="30"/>
      <c r="B23" s="3067" t="s">
        <v>232</v>
      </c>
      <c r="C23" s="3068" t="s">
        <v>99</v>
      </c>
      <c r="D23" s="3069">
        <v>8710</v>
      </c>
      <c r="E23" s="3076" t="str">
        <f t="shared" si="0"/>
        <v>未分配利润_本年年初余额</v>
      </c>
      <c r="F23" s="3070" t="str">
        <f t="shared" si="6"/>
        <v>2019年度</v>
      </c>
      <c r="G23" s="3081">
        <f t="shared" ca="1" si="7"/>
        <v>-1714.32</v>
      </c>
      <c r="H23" s="3071" t="s">
        <v>99</v>
      </c>
      <c r="I23" s="3069">
        <v>8799</v>
      </c>
      <c r="J23" s="3075" t="str">
        <f t="shared" si="1"/>
        <v>未分配利润_本期期末余额</v>
      </c>
      <c r="K23" s="3070" t="str">
        <f t="shared" si="4"/>
        <v>2018年度</v>
      </c>
      <c r="L23" s="3080">
        <f t="shared" ca="1" si="5"/>
        <v>-1714.32</v>
      </c>
      <c r="M23" s="3072">
        <f t="shared" ca="1" si="2"/>
        <v>0</v>
      </c>
      <c r="N23" s="3073" t="str">
        <f t="shared" ca="1" si="3"/>
        <v>√</v>
      </c>
      <c r="O23" s="641"/>
      <c r="P23" s="641"/>
      <c r="Q23" s="641"/>
      <c r="R23" s="641"/>
    </row>
    <row r="24" spans="1:18" ht="39">
      <c r="A24" s="30"/>
      <c r="B24" s="3067" t="s">
        <v>240</v>
      </c>
      <c r="C24" s="3068" t="s">
        <v>99</v>
      </c>
      <c r="D24" s="3069">
        <v>8810</v>
      </c>
      <c r="E24" s="3076" t="str">
        <f t="shared" si="0"/>
        <v>其他归属于母公司所有者权益_本年年初余额</v>
      </c>
      <c r="F24" s="3070" t="str">
        <f t="shared" si="6"/>
        <v>2019年度</v>
      </c>
      <c r="G24" s="3081">
        <f t="shared" ca="1" si="7"/>
        <v>0</v>
      </c>
      <c r="H24" s="3071" t="s">
        <v>99</v>
      </c>
      <c r="I24" s="3069">
        <v>8899</v>
      </c>
      <c r="J24" s="3075" t="str">
        <f t="shared" si="1"/>
        <v>其他归属于母公司所有者权益_本期期末余额</v>
      </c>
      <c r="K24" s="3070" t="str">
        <f t="shared" si="4"/>
        <v>2018年度</v>
      </c>
      <c r="L24" s="3080">
        <f t="shared" ca="1" si="5"/>
        <v>0</v>
      </c>
      <c r="M24" s="3072">
        <f t="shared" ca="1" si="2"/>
        <v>0</v>
      </c>
      <c r="N24" s="3073" t="str">
        <f t="shared" ca="1" si="3"/>
        <v>√</v>
      </c>
      <c r="O24" s="641"/>
      <c r="P24" s="641"/>
      <c r="Q24" s="641"/>
      <c r="R24" s="641"/>
    </row>
    <row r="25" spans="1:18" ht="26">
      <c r="A25" s="30"/>
      <c r="B25" s="3067" t="s">
        <v>250</v>
      </c>
      <c r="C25" s="3068" t="s">
        <v>99</v>
      </c>
      <c r="D25" s="3069">
        <v>8010</v>
      </c>
      <c r="E25" s="3076" t="str">
        <f t="shared" si="0"/>
        <v>所有者权益_本年年初余额</v>
      </c>
      <c r="F25" s="3070" t="str">
        <f t="shared" si="6"/>
        <v>2019年度</v>
      </c>
      <c r="G25" s="3081">
        <f t="shared" ca="1" si="7"/>
        <v>-1714.32</v>
      </c>
      <c r="H25" s="3071" t="s">
        <v>99</v>
      </c>
      <c r="I25" s="3069">
        <v>8099</v>
      </c>
      <c r="J25" s="3075" t="str">
        <f t="shared" si="1"/>
        <v>所有者权益_本期期末余额</v>
      </c>
      <c r="K25" s="3070" t="str">
        <f t="shared" si="4"/>
        <v>2018年度</v>
      </c>
      <c r="L25" s="3080">
        <f t="shared" ca="1" si="5"/>
        <v>-1714.32</v>
      </c>
      <c r="M25" s="3072">
        <f t="shared" ca="1" si="2"/>
        <v>0</v>
      </c>
      <c r="N25" s="3073" t="str">
        <f t="shared" ca="1" si="3"/>
        <v>√</v>
      </c>
      <c r="O25" s="641"/>
      <c r="P25" s="641"/>
      <c r="Q25" s="641"/>
      <c r="R25" s="641"/>
    </row>
    <row r="26" spans="1:18" ht="26">
      <c r="A26" s="30"/>
      <c r="B26" s="3067" t="s">
        <v>260</v>
      </c>
      <c r="C26" s="3068" t="s">
        <v>99</v>
      </c>
      <c r="D26" s="3069">
        <v>8199</v>
      </c>
      <c r="E26" s="3076" t="str">
        <f t="shared" si="0"/>
        <v>实收资本_本期期末余额</v>
      </c>
      <c r="F26" s="3070" t="str">
        <f t="shared" si="6"/>
        <v>2019年度</v>
      </c>
      <c r="G26" s="3081">
        <f t="shared" ca="1" si="7"/>
        <v>0</v>
      </c>
      <c r="H26" s="3071" t="s">
        <v>59</v>
      </c>
      <c r="I26" s="3069">
        <v>4001</v>
      </c>
      <c r="J26" s="3076" t="str">
        <f t="shared" si="1"/>
        <v>实收资本</v>
      </c>
      <c r="K26" s="3070">
        <f>Area_RepDate</f>
        <v>43830</v>
      </c>
      <c r="L26" s="3081">
        <f ca="1">INDIRECT(H26&amp;"!CheckA"&amp;I26)</f>
        <v>0</v>
      </c>
      <c r="M26" s="3072">
        <f t="shared" ca="1" si="2"/>
        <v>0</v>
      </c>
      <c r="N26" s="3073" t="str">
        <f t="shared" ca="1" si="3"/>
        <v>√</v>
      </c>
      <c r="O26" s="641"/>
      <c r="P26" s="641"/>
      <c r="Q26" s="641"/>
      <c r="R26" s="641"/>
    </row>
    <row r="27" spans="1:18" ht="26">
      <c r="A27" s="30"/>
      <c r="B27" s="3067" t="s">
        <v>268</v>
      </c>
      <c r="C27" s="3068" t="s">
        <v>99</v>
      </c>
      <c r="D27" s="3069">
        <v>8199</v>
      </c>
      <c r="E27" s="3075" t="str">
        <f t="shared" si="0"/>
        <v>实收资本_本期期末余额</v>
      </c>
      <c r="F27" s="3070" t="str">
        <f>Area_RepDuration1</f>
        <v>2018年度</v>
      </c>
      <c r="G27" s="3080">
        <f ca="1">INDIRECT(C27&amp;"!CheckB"&amp;D27)</f>
        <v>0</v>
      </c>
      <c r="H27" s="3071" t="s">
        <v>59</v>
      </c>
      <c r="I27" s="3069">
        <v>4001</v>
      </c>
      <c r="J27" s="3075" t="str">
        <f t="shared" si="1"/>
        <v>实收资本</v>
      </c>
      <c r="K27" s="3070">
        <f>Area_RepDate1</f>
        <v>43465</v>
      </c>
      <c r="L27" s="3080">
        <f ca="1">INDIRECT(H27&amp;"!CheckB"&amp;I27)</f>
        <v>0</v>
      </c>
      <c r="M27" s="3072">
        <f t="shared" ca="1" si="2"/>
        <v>0</v>
      </c>
      <c r="N27" s="3073" t="str">
        <f t="shared" ca="1" si="3"/>
        <v>√</v>
      </c>
      <c r="O27" s="641"/>
      <c r="P27" s="641"/>
      <c r="Q27" s="641"/>
      <c r="R27" s="641"/>
    </row>
    <row r="28" spans="1:18" ht="26">
      <c r="A28" s="30"/>
      <c r="B28" s="3067" t="s">
        <v>277</v>
      </c>
      <c r="C28" s="3068" t="s">
        <v>99</v>
      </c>
      <c r="D28" s="3069">
        <v>8299</v>
      </c>
      <c r="E28" s="3076" t="str">
        <f t="shared" si="0"/>
        <v>资本公积_本期期末余额</v>
      </c>
      <c r="F28" s="3070" t="str">
        <f>Area_RepDuration</f>
        <v>2019年度</v>
      </c>
      <c r="G28" s="3081">
        <f ca="1">INDIRECT(C28&amp;"!CheckA"&amp;D28)</f>
        <v>0</v>
      </c>
      <c r="H28" s="3071" t="s">
        <v>59</v>
      </c>
      <c r="I28" s="3069">
        <v>4002</v>
      </c>
      <c r="J28" s="3076" t="str">
        <f t="shared" si="1"/>
        <v>资本公积</v>
      </c>
      <c r="K28" s="3070">
        <f>Area_RepDate</f>
        <v>43830</v>
      </c>
      <c r="L28" s="3081">
        <f ca="1">INDIRECT(H28&amp;"!CheckA"&amp;I28)</f>
        <v>0</v>
      </c>
      <c r="M28" s="3072">
        <f t="shared" ca="1" si="2"/>
        <v>0</v>
      </c>
      <c r="N28" s="3073" t="str">
        <f t="shared" ca="1" si="3"/>
        <v>√</v>
      </c>
      <c r="O28" s="641"/>
      <c r="P28" s="641"/>
      <c r="Q28" s="641"/>
      <c r="R28" s="641"/>
    </row>
    <row r="29" spans="1:18" ht="26">
      <c r="A29" s="30"/>
      <c r="B29" s="3067" t="s">
        <v>285</v>
      </c>
      <c r="C29" s="3068" t="s">
        <v>99</v>
      </c>
      <c r="D29" s="3069">
        <v>8299</v>
      </c>
      <c r="E29" s="3075" t="str">
        <f t="shared" si="0"/>
        <v>资本公积_本期期末余额</v>
      </c>
      <c r="F29" s="3070" t="str">
        <f>Area_RepDuration1</f>
        <v>2018年度</v>
      </c>
      <c r="G29" s="3080">
        <f ca="1">INDIRECT(C29&amp;"!CheckB"&amp;D29)</f>
        <v>0</v>
      </c>
      <c r="H29" s="3071" t="s">
        <v>59</v>
      </c>
      <c r="I29" s="3069">
        <v>4002</v>
      </c>
      <c r="J29" s="3075" t="str">
        <f t="shared" si="1"/>
        <v>资本公积</v>
      </c>
      <c r="K29" s="3070">
        <f>Area_RepDate1</f>
        <v>43465</v>
      </c>
      <c r="L29" s="3080">
        <f ca="1">INDIRECT(H29&amp;"!CheckB"&amp;I29)</f>
        <v>0</v>
      </c>
      <c r="M29" s="3072">
        <f t="shared" ca="1" si="2"/>
        <v>0</v>
      </c>
      <c r="N29" s="3073" t="str">
        <f t="shared" ca="1" si="3"/>
        <v>√</v>
      </c>
      <c r="O29" s="641"/>
      <c r="P29" s="641"/>
      <c r="Q29" s="641"/>
      <c r="R29" s="641"/>
    </row>
    <row r="30" spans="1:18" ht="26">
      <c r="A30" s="30"/>
      <c r="B30" s="3067" t="s">
        <v>296</v>
      </c>
      <c r="C30" s="3068" t="s">
        <v>99</v>
      </c>
      <c r="D30" s="3069">
        <v>8399</v>
      </c>
      <c r="E30" s="3076" t="str">
        <f t="shared" si="0"/>
        <v>库存股_本期期末余额</v>
      </c>
      <c r="F30" s="3070" t="str">
        <f>Area_RepDuration</f>
        <v>2019年度</v>
      </c>
      <c r="G30" s="3081">
        <f ca="1">INDIRECT(C30&amp;"!CheckA"&amp;D30)</f>
        <v>0</v>
      </c>
      <c r="H30" s="3071" t="s">
        <v>59</v>
      </c>
      <c r="I30" s="3069">
        <v>4201</v>
      </c>
      <c r="J30" s="3076" t="str">
        <f t="shared" si="1"/>
        <v>库存股</v>
      </c>
      <c r="K30" s="3070">
        <f>Area_RepDate</f>
        <v>43830</v>
      </c>
      <c r="L30" s="3081">
        <f ca="1">INDIRECT(H30&amp;"!CheckA"&amp;I30)</f>
        <v>0</v>
      </c>
      <c r="M30" s="3072">
        <f t="shared" ca="1" si="2"/>
        <v>0</v>
      </c>
      <c r="N30" s="3073" t="str">
        <f t="shared" ca="1" si="3"/>
        <v>√</v>
      </c>
      <c r="O30" s="641"/>
      <c r="P30" s="641"/>
      <c r="Q30" s="641"/>
      <c r="R30" s="641"/>
    </row>
    <row r="31" spans="1:18" ht="26">
      <c r="A31" s="30"/>
      <c r="B31" s="3067" t="s">
        <v>306</v>
      </c>
      <c r="C31" s="3068" t="s">
        <v>99</v>
      </c>
      <c r="D31" s="3069">
        <v>8399</v>
      </c>
      <c r="E31" s="3075" t="str">
        <f t="shared" si="0"/>
        <v>库存股_本期期末余额</v>
      </c>
      <c r="F31" s="3070" t="str">
        <f>Area_RepDuration1</f>
        <v>2018年度</v>
      </c>
      <c r="G31" s="3080">
        <f ca="1">INDIRECT(C31&amp;"!CheckB"&amp;D31)</f>
        <v>0</v>
      </c>
      <c r="H31" s="3071" t="s">
        <v>59</v>
      </c>
      <c r="I31" s="3069">
        <v>4201</v>
      </c>
      <c r="J31" s="3075" t="str">
        <f t="shared" si="1"/>
        <v>库存股</v>
      </c>
      <c r="K31" s="3070">
        <f>Area_RepDate1</f>
        <v>43465</v>
      </c>
      <c r="L31" s="3080">
        <f ca="1">INDIRECT(H31&amp;"!CheckB"&amp;I31)</f>
        <v>0</v>
      </c>
      <c r="M31" s="3072">
        <f t="shared" ca="1" si="2"/>
        <v>0</v>
      </c>
      <c r="N31" s="3073" t="str">
        <f t="shared" ca="1" si="3"/>
        <v>√</v>
      </c>
      <c r="O31" s="641"/>
      <c r="P31" s="641"/>
      <c r="Q31" s="641"/>
      <c r="R31" s="641"/>
    </row>
    <row r="32" spans="1:18" ht="26">
      <c r="A32" s="30"/>
      <c r="B32" s="3067" t="s">
        <v>312</v>
      </c>
      <c r="C32" s="3068" t="s">
        <v>99</v>
      </c>
      <c r="D32" s="3069">
        <v>8499</v>
      </c>
      <c r="E32" s="3076" t="str">
        <f t="shared" si="0"/>
        <v>专项储备_本期期末余额</v>
      </c>
      <c r="F32" s="3070" t="str">
        <f>Area_RepDuration</f>
        <v>2019年度</v>
      </c>
      <c r="G32" s="3081">
        <f ca="1">INDIRECT(C32&amp;"!CheckA"&amp;D32)</f>
        <v>0</v>
      </c>
      <c r="H32" s="3071" t="s">
        <v>59</v>
      </c>
      <c r="I32" s="3069">
        <v>4301</v>
      </c>
      <c r="J32" s="3076" t="str">
        <f t="shared" si="1"/>
        <v>专项储备</v>
      </c>
      <c r="K32" s="3070">
        <f>Area_RepDate</f>
        <v>43830</v>
      </c>
      <c r="L32" s="3081">
        <f ca="1">INDIRECT(H32&amp;"!CheckA"&amp;I32)</f>
        <v>0</v>
      </c>
      <c r="M32" s="3072">
        <f t="shared" ca="1" si="2"/>
        <v>0</v>
      </c>
      <c r="N32" s="3073" t="str">
        <f t="shared" ca="1" si="3"/>
        <v>√</v>
      </c>
      <c r="O32" s="641"/>
      <c r="P32" s="641"/>
      <c r="Q32" s="641"/>
      <c r="R32" s="641"/>
    </row>
    <row r="33" spans="1:18" ht="26">
      <c r="A33" s="30"/>
      <c r="B33" s="3067" t="s">
        <v>318</v>
      </c>
      <c r="C33" s="3068" t="s">
        <v>99</v>
      </c>
      <c r="D33" s="3069">
        <v>8499</v>
      </c>
      <c r="E33" s="3075" t="str">
        <f t="shared" si="0"/>
        <v>专项储备_本期期末余额</v>
      </c>
      <c r="F33" s="3070" t="str">
        <f>Area_RepDuration1</f>
        <v>2018年度</v>
      </c>
      <c r="G33" s="3080">
        <f ca="1">INDIRECT(C33&amp;"!CheckB"&amp;D33)</f>
        <v>0</v>
      </c>
      <c r="H33" s="3071" t="s">
        <v>59</v>
      </c>
      <c r="I33" s="3069">
        <v>4301</v>
      </c>
      <c r="J33" s="3075" t="str">
        <f t="shared" si="1"/>
        <v>专项储备</v>
      </c>
      <c r="K33" s="3070">
        <f>Area_RepDate1</f>
        <v>43465</v>
      </c>
      <c r="L33" s="3080">
        <f ca="1">INDIRECT(H33&amp;"!CheckB"&amp;I33)</f>
        <v>0</v>
      </c>
      <c r="M33" s="3072">
        <f t="shared" ca="1" si="2"/>
        <v>0</v>
      </c>
      <c r="N33" s="3073" t="str">
        <f t="shared" ca="1" si="3"/>
        <v>√</v>
      </c>
      <c r="O33" s="641"/>
      <c r="P33" s="641"/>
      <c r="Q33" s="641"/>
      <c r="R33" s="641"/>
    </row>
    <row r="34" spans="1:18" ht="26">
      <c r="A34" s="30"/>
      <c r="B34" s="3067" t="s">
        <v>324</v>
      </c>
      <c r="C34" s="3068" t="s">
        <v>99</v>
      </c>
      <c r="D34" s="3069">
        <v>8599</v>
      </c>
      <c r="E34" s="3076" t="str">
        <f t="shared" si="0"/>
        <v>盈余公积_本期期末余额</v>
      </c>
      <c r="F34" s="3070" t="str">
        <f>Area_RepDuration</f>
        <v>2019年度</v>
      </c>
      <c r="G34" s="3081">
        <f ca="1">INDIRECT(C34&amp;"!CheckA"&amp;D34)</f>
        <v>0</v>
      </c>
      <c r="H34" s="3071" t="s">
        <v>59</v>
      </c>
      <c r="I34" s="3069">
        <v>4101</v>
      </c>
      <c r="J34" s="3076" t="str">
        <f t="shared" si="1"/>
        <v>盈余公积</v>
      </c>
      <c r="K34" s="3070">
        <f>Area_RepDate</f>
        <v>43830</v>
      </c>
      <c r="L34" s="3081">
        <f ca="1">INDIRECT(H34&amp;"!CheckA"&amp;I34)</f>
        <v>0</v>
      </c>
      <c r="M34" s="3072">
        <f t="shared" ca="1" si="2"/>
        <v>0</v>
      </c>
      <c r="N34" s="3073" t="str">
        <f t="shared" ca="1" si="3"/>
        <v>√</v>
      </c>
      <c r="O34" s="641"/>
      <c r="P34" s="641"/>
      <c r="Q34" s="641"/>
      <c r="R34" s="641"/>
    </row>
    <row r="35" spans="1:18" ht="26">
      <c r="A35" s="30"/>
      <c r="B35" s="3067" t="s">
        <v>330</v>
      </c>
      <c r="C35" s="3068" t="s">
        <v>99</v>
      </c>
      <c r="D35" s="3069">
        <v>8599</v>
      </c>
      <c r="E35" s="3075" t="str">
        <f t="shared" si="0"/>
        <v>盈余公积_本期期末余额</v>
      </c>
      <c r="F35" s="3070" t="str">
        <f>Area_RepDuration1</f>
        <v>2018年度</v>
      </c>
      <c r="G35" s="3080">
        <f ca="1">INDIRECT(C35&amp;"!CheckB"&amp;D35)</f>
        <v>0</v>
      </c>
      <c r="H35" s="3071" t="s">
        <v>59</v>
      </c>
      <c r="I35" s="3069">
        <v>4101</v>
      </c>
      <c r="J35" s="3075" t="str">
        <f t="shared" si="1"/>
        <v>盈余公积</v>
      </c>
      <c r="K35" s="3070">
        <f>Area_RepDate1</f>
        <v>43465</v>
      </c>
      <c r="L35" s="3080">
        <f ca="1">INDIRECT(H35&amp;"!CheckB"&amp;I35)</f>
        <v>0</v>
      </c>
      <c r="M35" s="3072">
        <f t="shared" ca="1" si="2"/>
        <v>0</v>
      </c>
      <c r="N35" s="3073" t="str">
        <f t="shared" ca="1" si="3"/>
        <v>√</v>
      </c>
      <c r="O35" s="641"/>
      <c r="P35" s="641"/>
      <c r="Q35" s="641"/>
      <c r="R35" s="641"/>
    </row>
    <row r="36" spans="1:18" ht="26">
      <c r="A36" s="30"/>
      <c r="B36" s="3067" t="s">
        <v>338</v>
      </c>
      <c r="C36" s="3068" t="s">
        <v>99</v>
      </c>
      <c r="D36" s="3069">
        <v>8699</v>
      </c>
      <c r="E36" s="3076" t="str">
        <f t="shared" si="0"/>
        <v>一般风险准备_本期期末余额</v>
      </c>
      <c r="F36" s="3070" t="str">
        <f>Area_RepDuration</f>
        <v>2019年度</v>
      </c>
      <c r="G36" s="3081">
        <f ca="1">INDIRECT(C36&amp;"!CheckA"&amp;D36)</f>
        <v>0</v>
      </c>
      <c r="H36" s="3071" t="s">
        <v>59</v>
      </c>
      <c r="I36" s="3069">
        <v>4102</v>
      </c>
      <c r="J36" s="3076" t="str">
        <f t="shared" si="1"/>
        <v>一般风险准备</v>
      </c>
      <c r="K36" s="3070">
        <f>Area_RepDate</f>
        <v>43830</v>
      </c>
      <c r="L36" s="3081">
        <f ca="1">INDIRECT(H36&amp;"!CheckA"&amp;I36)</f>
        <v>0</v>
      </c>
      <c r="M36" s="3072">
        <f t="shared" ca="1" si="2"/>
        <v>0</v>
      </c>
      <c r="N36" s="3073" t="str">
        <f t="shared" ca="1" si="3"/>
        <v>√</v>
      </c>
      <c r="O36" s="641"/>
      <c r="P36" s="641"/>
      <c r="Q36" s="641"/>
      <c r="R36" s="641"/>
    </row>
    <row r="37" spans="1:18" ht="26">
      <c r="A37" s="30"/>
      <c r="B37" s="3067" t="s">
        <v>345</v>
      </c>
      <c r="C37" s="3068" t="s">
        <v>99</v>
      </c>
      <c r="D37" s="3069">
        <v>8699</v>
      </c>
      <c r="E37" s="3075" t="str">
        <f t="shared" si="0"/>
        <v>一般风险准备_本期期末余额</v>
      </c>
      <c r="F37" s="3070" t="str">
        <f>Area_RepDuration1</f>
        <v>2018年度</v>
      </c>
      <c r="G37" s="3080">
        <f ca="1">INDIRECT(C37&amp;"!CheckB"&amp;D37)</f>
        <v>0</v>
      </c>
      <c r="H37" s="3071" t="s">
        <v>59</v>
      </c>
      <c r="I37" s="3069">
        <v>4102</v>
      </c>
      <c r="J37" s="3075" t="str">
        <f t="shared" si="1"/>
        <v>一般风险准备</v>
      </c>
      <c r="K37" s="3070">
        <f>Area_RepDate1</f>
        <v>43465</v>
      </c>
      <c r="L37" s="3080">
        <f ca="1">INDIRECT(H37&amp;"!CheckB"&amp;I37)</f>
        <v>0</v>
      </c>
      <c r="M37" s="3072">
        <f t="shared" ca="1" si="2"/>
        <v>0</v>
      </c>
      <c r="N37" s="3073" t="str">
        <f t="shared" ca="1" si="3"/>
        <v>√</v>
      </c>
      <c r="O37" s="641"/>
      <c r="P37" s="641"/>
      <c r="Q37" s="641"/>
      <c r="R37" s="641"/>
    </row>
    <row r="38" spans="1:18" ht="26">
      <c r="A38" s="30"/>
      <c r="B38" s="3067" t="s">
        <v>352</v>
      </c>
      <c r="C38" s="3068" t="s">
        <v>99</v>
      </c>
      <c r="D38" s="3069">
        <v>8799</v>
      </c>
      <c r="E38" s="3076" t="str">
        <f t="shared" si="0"/>
        <v>未分配利润_本期期末余额</v>
      </c>
      <c r="F38" s="3070" t="str">
        <f>Area_RepDuration</f>
        <v>2019年度</v>
      </c>
      <c r="G38" s="3081">
        <f ca="1">INDIRECT(C38&amp;"!CheckA"&amp;D38)</f>
        <v>-4039.23</v>
      </c>
      <c r="H38" s="3071" t="s">
        <v>59</v>
      </c>
      <c r="I38" s="3069">
        <v>4200</v>
      </c>
      <c r="J38" s="3076" t="str">
        <f t="shared" si="1"/>
        <v>未分配利润</v>
      </c>
      <c r="K38" s="3070">
        <f>Area_RepDate</f>
        <v>43830</v>
      </c>
      <c r="L38" s="3081">
        <f ca="1">INDIRECT(H38&amp;"!CheckA"&amp;I38)</f>
        <v>-4039.23</v>
      </c>
      <c r="M38" s="3072">
        <f t="shared" ca="1" si="2"/>
        <v>0</v>
      </c>
      <c r="N38" s="3073" t="str">
        <f t="shared" ca="1" si="3"/>
        <v>√</v>
      </c>
      <c r="O38" s="641"/>
      <c r="P38" s="641"/>
      <c r="Q38" s="641"/>
      <c r="R38" s="641"/>
    </row>
    <row r="39" spans="1:18" ht="26">
      <c r="A39" s="30"/>
      <c r="B39" s="3067" t="s">
        <v>360</v>
      </c>
      <c r="C39" s="3068" t="s">
        <v>99</v>
      </c>
      <c r="D39" s="3069">
        <v>8799</v>
      </c>
      <c r="E39" s="3075" t="str">
        <f t="shared" si="0"/>
        <v>未分配利润_本期期末余额</v>
      </c>
      <c r="F39" s="3070" t="str">
        <f>Area_RepDuration1</f>
        <v>2018年度</v>
      </c>
      <c r="G39" s="3080">
        <f ca="1">INDIRECT(C39&amp;"!CheckB"&amp;D39)</f>
        <v>-1714.32</v>
      </c>
      <c r="H39" s="3071" t="s">
        <v>59</v>
      </c>
      <c r="I39" s="3069">
        <v>4200</v>
      </c>
      <c r="J39" s="3075" t="str">
        <f t="shared" si="1"/>
        <v>未分配利润</v>
      </c>
      <c r="K39" s="3070">
        <f>Area_RepDate1</f>
        <v>43465</v>
      </c>
      <c r="L39" s="3080">
        <f ca="1">INDIRECT(H39&amp;"!CheckB"&amp;I39)</f>
        <v>-1714.32</v>
      </c>
      <c r="M39" s="3072">
        <f t="shared" ca="1" si="2"/>
        <v>0</v>
      </c>
      <c r="N39" s="3073" t="str">
        <f t="shared" ca="1" si="3"/>
        <v>√</v>
      </c>
      <c r="O39" s="641"/>
      <c r="P39" s="641"/>
      <c r="Q39" s="641"/>
      <c r="R39" s="641"/>
    </row>
    <row r="40" spans="1:18" ht="26">
      <c r="A40" s="30"/>
      <c r="B40" s="3067" t="s">
        <v>368</v>
      </c>
      <c r="C40" s="3068" t="s">
        <v>99</v>
      </c>
      <c r="D40" s="3069">
        <v>8099</v>
      </c>
      <c r="E40" s="3076" t="str">
        <f t="shared" si="0"/>
        <v>所有者权益_本期期末余额</v>
      </c>
      <c r="F40" s="3070" t="str">
        <f>Area_RepDuration</f>
        <v>2019年度</v>
      </c>
      <c r="G40" s="3081">
        <f ca="1">INDIRECT(C40&amp;"!CheckA"&amp;D40)</f>
        <v>-4039.23</v>
      </c>
      <c r="H40" s="3071" t="s">
        <v>59</v>
      </c>
      <c r="I40" s="3069">
        <v>4999</v>
      </c>
      <c r="J40" s="3076" t="str">
        <f t="shared" si="1"/>
        <v>所有者权益</v>
      </c>
      <c r="K40" s="3070">
        <f>Area_RepDate</f>
        <v>43830</v>
      </c>
      <c r="L40" s="3081">
        <f ca="1">INDIRECT(H40&amp;"!CheckA"&amp;I40)</f>
        <v>-4039.23</v>
      </c>
      <c r="M40" s="3072">
        <f t="shared" ca="1" si="2"/>
        <v>0</v>
      </c>
      <c r="N40" s="3073" t="str">
        <f t="shared" ca="1" si="3"/>
        <v>√</v>
      </c>
      <c r="O40" s="641"/>
      <c r="P40" s="641"/>
      <c r="Q40" s="641"/>
      <c r="R40" s="641"/>
    </row>
    <row r="41" spans="1:18" ht="26">
      <c r="A41" s="30"/>
      <c r="B41" s="3067" t="s">
        <v>375</v>
      </c>
      <c r="C41" s="3068" t="s">
        <v>99</v>
      </c>
      <c r="D41" s="3069">
        <v>8099</v>
      </c>
      <c r="E41" s="3075" t="str">
        <f t="shared" ref="E41:E72" si="8">VLOOKUP(D41,Sheet_Items,2,0)</f>
        <v>所有者权益_本期期末余额</v>
      </c>
      <c r="F41" s="3070" t="str">
        <f>Area_RepDuration1</f>
        <v>2018年度</v>
      </c>
      <c r="G41" s="3080">
        <f ca="1">INDIRECT(C41&amp;"!CheckB"&amp;D41)</f>
        <v>-1714.32</v>
      </c>
      <c r="H41" s="3071" t="s">
        <v>59</v>
      </c>
      <c r="I41" s="3069">
        <v>4999</v>
      </c>
      <c r="J41" s="3075" t="str">
        <f t="shared" ref="J41:J72" si="9">VLOOKUP(I41,Sheet_Items,2,0)</f>
        <v>所有者权益</v>
      </c>
      <c r="K41" s="3070">
        <f>Area_RepDate1</f>
        <v>43465</v>
      </c>
      <c r="L41" s="3080">
        <f ca="1">INDIRECT(H41&amp;"!CheckB"&amp;I41)</f>
        <v>-1714.32</v>
      </c>
      <c r="M41" s="3072">
        <f t="shared" ref="M41:M72" ca="1" si="10">ROUND(G41-L41,2)</f>
        <v>0</v>
      </c>
      <c r="N41" s="3073" t="str">
        <f t="shared" ref="N41:N72" ca="1" si="11">IF(M41=0,"√","×")</f>
        <v>√</v>
      </c>
      <c r="O41" s="641"/>
      <c r="P41" s="641"/>
      <c r="Q41" s="641"/>
      <c r="R41" s="641"/>
    </row>
    <row r="42" spans="1:18" ht="26">
      <c r="A42" s="30"/>
      <c r="B42" s="3067" t="s">
        <v>382</v>
      </c>
      <c r="C42" s="3068" t="s">
        <v>383</v>
      </c>
      <c r="D42" s="3069">
        <v>7349</v>
      </c>
      <c r="E42" s="3076" t="str">
        <f t="shared" si="8"/>
        <v>期初现金及现金等价物余额</v>
      </c>
      <c r="F42" s="3070" t="str">
        <f>Area_RepDuration</f>
        <v>2019年度</v>
      </c>
      <c r="G42" s="3081">
        <f ca="1">INDIRECT(C42&amp;"!CheckA"&amp;D42)</f>
        <v>17805.68</v>
      </c>
      <c r="H42" s="3071" t="s">
        <v>383</v>
      </c>
      <c r="I42" s="3069">
        <v>7399</v>
      </c>
      <c r="J42" s="3075" t="str">
        <f t="shared" si="9"/>
        <v>期末现金及现金等价物余额</v>
      </c>
      <c r="K42" s="3070" t="str">
        <f>Area_RepDuration1</f>
        <v>2018年度</v>
      </c>
      <c r="L42" s="3080">
        <f ca="1">INDIRECT(H42&amp;"!CheckB"&amp;I42)</f>
        <v>17805.68</v>
      </c>
      <c r="M42" s="3072">
        <f t="shared" ca="1" si="10"/>
        <v>0</v>
      </c>
      <c r="N42" s="3073" t="str">
        <f t="shared" ca="1" si="11"/>
        <v>√</v>
      </c>
      <c r="O42" s="641"/>
      <c r="P42" s="641"/>
      <c r="Q42" s="641"/>
      <c r="R42" s="641"/>
    </row>
    <row r="43" spans="1:18" ht="17">
      <c r="A43" s="30"/>
      <c r="B43" s="3067" t="s">
        <v>389</v>
      </c>
      <c r="C43" s="3068" t="s">
        <v>383</v>
      </c>
      <c r="D43" s="3069">
        <v>7502</v>
      </c>
      <c r="E43" s="3076" t="str">
        <f t="shared" si="8"/>
        <v>净利润金额</v>
      </c>
      <c r="F43" s="3070" t="str">
        <f>Area_RepDuration</f>
        <v>2019年度</v>
      </c>
      <c r="G43" s="3081">
        <f ca="1">INDIRECT(C43&amp;"!CheckA"&amp;D43)</f>
        <v>-2324.91</v>
      </c>
      <c r="H43" s="3071" t="s">
        <v>97</v>
      </c>
      <c r="I43" s="3069">
        <v>6799</v>
      </c>
      <c r="J43" s="3076" t="str">
        <f t="shared" si="9"/>
        <v>净利润</v>
      </c>
      <c r="K43" s="3070" t="str">
        <f>Area_RepDuration</f>
        <v>2019年度</v>
      </c>
      <c r="L43" s="3081">
        <f ca="1">INDIRECT(H43&amp;"!CheckA"&amp;I43)</f>
        <v>-2324.91</v>
      </c>
      <c r="M43" s="3072">
        <f t="shared" ca="1" si="10"/>
        <v>0</v>
      </c>
      <c r="N43" s="3073" t="str">
        <f t="shared" ca="1" si="11"/>
        <v>√</v>
      </c>
      <c r="O43" s="641"/>
      <c r="P43" s="641"/>
      <c r="Q43" s="641"/>
      <c r="R43" s="641"/>
    </row>
    <row r="44" spans="1:18" ht="17">
      <c r="A44" s="30"/>
      <c r="B44" s="3067" t="s">
        <v>395</v>
      </c>
      <c r="C44" s="3068" t="s">
        <v>383</v>
      </c>
      <c r="D44" s="3069">
        <v>7502</v>
      </c>
      <c r="E44" s="3075" t="str">
        <f t="shared" si="8"/>
        <v>净利润金额</v>
      </c>
      <c r="F44" s="3070" t="str">
        <f>Area_RepDuration1</f>
        <v>2018年度</v>
      </c>
      <c r="G44" s="3080">
        <f ca="1">INDIRECT(C44&amp;"!CheckB"&amp;D44)</f>
        <v>-1714.32</v>
      </c>
      <c r="H44" s="3071" t="s">
        <v>97</v>
      </c>
      <c r="I44" s="3069">
        <v>6799</v>
      </c>
      <c r="J44" s="3075" t="str">
        <f t="shared" si="9"/>
        <v>净利润</v>
      </c>
      <c r="K44" s="3070" t="str">
        <f>Area_RepDuration1</f>
        <v>2018年度</v>
      </c>
      <c r="L44" s="3080">
        <f ca="1">INDIRECT(H44&amp;"!CheckB"&amp;I44)</f>
        <v>-1714.32</v>
      </c>
      <c r="M44" s="3072">
        <f t="shared" ca="1" si="10"/>
        <v>0</v>
      </c>
      <c r="N44" s="3073" t="str">
        <f t="shared" ca="1" si="11"/>
        <v>√</v>
      </c>
      <c r="O44" s="641"/>
      <c r="P44" s="641"/>
      <c r="Q44" s="641"/>
      <c r="R44" s="641"/>
    </row>
    <row r="45" spans="1:18" ht="26">
      <c r="A45" s="30"/>
      <c r="B45" s="3067" t="s">
        <v>401</v>
      </c>
      <c r="C45" s="3068" t="s">
        <v>383</v>
      </c>
      <c r="D45" s="3069">
        <v>7525</v>
      </c>
      <c r="E45" s="3076" t="str">
        <f t="shared" si="8"/>
        <v>经营活动产生的现金流量净额</v>
      </c>
      <c r="F45" s="3070" t="str">
        <f>Area_RepDuration</f>
        <v>2019年度</v>
      </c>
      <c r="G45" s="3081">
        <f ca="1">INDIRECT(C45&amp;"!CheckA"&amp;D45)</f>
        <v>-2324.91</v>
      </c>
      <c r="H45" s="3071" t="s">
        <v>383</v>
      </c>
      <c r="I45" s="3069">
        <v>7099</v>
      </c>
      <c r="J45" s="3076" t="str">
        <f t="shared" si="9"/>
        <v>经营活动产生的现金流量净额</v>
      </c>
      <c r="K45" s="3070" t="str">
        <f>Area_RepDuration</f>
        <v>2019年度</v>
      </c>
      <c r="L45" s="3081">
        <f ca="1">INDIRECT(H45&amp;"!CheckA"&amp;I45)</f>
        <v>-2324.91</v>
      </c>
      <c r="M45" s="3072">
        <f t="shared" ca="1" si="10"/>
        <v>0</v>
      </c>
      <c r="N45" s="3073" t="str">
        <f t="shared" ca="1" si="11"/>
        <v>√</v>
      </c>
      <c r="O45" s="641"/>
      <c r="P45" s="641"/>
      <c r="Q45" s="641"/>
      <c r="R45" s="641"/>
    </row>
    <row r="46" spans="1:18" ht="26">
      <c r="A46" s="30"/>
      <c r="B46" s="3067" t="s">
        <v>408</v>
      </c>
      <c r="C46" s="3068" t="s">
        <v>383</v>
      </c>
      <c r="D46" s="3069">
        <v>7525</v>
      </c>
      <c r="E46" s="3075" t="str">
        <f t="shared" si="8"/>
        <v>经营活动产生的现金流量净额</v>
      </c>
      <c r="F46" s="3070" t="str">
        <f>Area_RepDuration1</f>
        <v>2018年度</v>
      </c>
      <c r="G46" s="3080">
        <f ca="1">INDIRECT(C46&amp;"!CheckB"&amp;D46)</f>
        <v>17805.68</v>
      </c>
      <c r="H46" s="3071" t="s">
        <v>383</v>
      </c>
      <c r="I46" s="3069">
        <v>7099</v>
      </c>
      <c r="J46" s="3075" t="str">
        <f t="shared" si="9"/>
        <v>经营活动产生的现金流量净额</v>
      </c>
      <c r="K46" s="3070" t="str">
        <f>Area_RepDuration1</f>
        <v>2018年度</v>
      </c>
      <c r="L46" s="3080">
        <f ca="1">INDIRECT(H46&amp;"!CheckB"&amp;I46)</f>
        <v>17805.68</v>
      </c>
      <c r="M46" s="3072">
        <f t="shared" ca="1" si="10"/>
        <v>0</v>
      </c>
      <c r="N46" s="3073" t="str">
        <f t="shared" ca="1" si="11"/>
        <v>√</v>
      </c>
      <c r="O46" s="641"/>
      <c r="P46" s="641"/>
      <c r="Q46" s="641"/>
      <c r="R46" s="641"/>
    </row>
    <row r="47" spans="1:18" ht="26">
      <c r="A47" s="30"/>
      <c r="B47" s="3067" t="s">
        <v>414</v>
      </c>
      <c r="C47" s="3068" t="s">
        <v>383</v>
      </c>
      <c r="D47" s="3069">
        <v>7539</v>
      </c>
      <c r="E47" s="3076" t="str">
        <f t="shared" si="8"/>
        <v>现金及现金等价物净增加额</v>
      </c>
      <c r="F47" s="3070" t="str">
        <f>Area_RepDuration</f>
        <v>2019年度</v>
      </c>
      <c r="G47" s="3081">
        <f ca="1">INDIRECT(C47&amp;"!CheckA"&amp;D47)</f>
        <v>-2324.91</v>
      </c>
      <c r="H47" s="3071" t="s">
        <v>383</v>
      </c>
      <c r="I47" s="3069">
        <v>7348</v>
      </c>
      <c r="J47" s="3076" t="str">
        <f t="shared" si="9"/>
        <v>现金及现金等价物净增加额</v>
      </c>
      <c r="K47" s="3070" t="str">
        <f>Area_RepDuration</f>
        <v>2019年度</v>
      </c>
      <c r="L47" s="3081">
        <f ca="1">INDIRECT(H47&amp;"!CheckA"&amp;I47)</f>
        <v>-2324.91</v>
      </c>
      <c r="M47" s="3072">
        <f t="shared" ca="1" si="10"/>
        <v>0</v>
      </c>
      <c r="N47" s="3073" t="str">
        <f t="shared" ca="1" si="11"/>
        <v>√</v>
      </c>
      <c r="O47" s="641"/>
      <c r="P47" s="641"/>
      <c r="Q47" s="641"/>
      <c r="R47" s="641"/>
    </row>
    <row r="48" spans="1:18" ht="26">
      <c r="A48" s="30"/>
      <c r="B48" s="3067" t="s">
        <v>421</v>
      </c>
      <c r="C48" s="3068" t="s">
        <v>383</v>
      </c>
      <c r="D48" s="3069">
        <v>7539</v>
      </c>
      <c r="E48" s="3075" t="str">
        <f t="shared" si="8"/>
        <v>现金及现金等价物净增加额</v>
      </c>
      <c r="F48" s="3070" t="str">
        <f>Area_RepDuration1</f>
        <v>2018年度</v>
      </c>
      <c r="G48" s="3080">
        <f ca="1">INDIRECT(C48&amp;"!CheckB"&amp;D48)</f>
        <v>17805.68</v>
      </c>
      <c r="H48" s="3071" t="s">
        <v>383</v>
      </c>
      <c r="I48" s="3069">
        <v>7348</v>
      </c>
      <c r="J48" s="3075" t="str">
        <f t="shared" si="9"/>
        <v>现金及现金等价物净增加额</v>
      </c>
      <c r="K48" s="3070" t="str">
        <f>Area_RepDuration1</f>
        <v>2018年度</v>
      </c>
      <c r="L48" s="3080">
        <f ca="1">INDIRECT(H48&amp;"!CheckB"&amp;I48)</f>
        <v>17805.68</v>
      </c>
      <c r="M48" s="3072">
        <f t="shared" ca="1" si="10"/>
        <v>0</v>
      </c>
      <c r="N48" s="3073" t="str">
        <f t="shared" ca="1" si="11"/>
        <v>√</v>
      </c>
      <c r="O48" s="641"/>
      <c r="P48" s="641"/>
      <c r="Q48" s="641"/>
      <c r="R48" s="641"/>
    </row>
    <row r="49" spans="1:18" ht="26">
      <c r="A49" s="30"/>
      <c r="B49" s="3067" t="s">
        <v>427</v>
      </c>
      <c r="C49" s="3068" t="s">
        <v>428</v>
      </c>
      <c r="D49" s="3069">
        <v>1999</v>
      </c>
      <c r="E49" s="3076" t="str">
        <f t="shared" si="8"/>
        <v>资产</v>
      </c>
      <c r="F49" s="3070">
        <f>Area_RepDate</f>
        <v>43830</v>
      </c>
      <c r="G49" s="3081">
        <f ca="1">INDIRECT(C49&amp;"!CheckA"&amp;D49)</f>
        <v>15960.77</v>
      </c>
      <c r="H49" s="3071" t="s">
        <v>428</v>
      </c>
      <c r="I49" s="3069">
        <v>5000</v>
      </c>
      <c r="J49" s="3076" t="str">
        <f t="shared" si="9"/>
        <v>负债和所有者权益</v>
      </c>
      <c r="K49" s="3070">
        <f>Area_RepDate</f>
        <v>43830</v>
      </c>
      <c r="L49" s="3081">
        <f ca="1">INDIRECT(H49&amp;"!CheckA"&amp;I49)</f>
        <v>15960.77</v>
      </c>
      <c r="M49" s="3072">
        <f t="shared" ca="1" si="10"/>
        <v>0</v>
      </c>
      <c r="N49" s="3073" t="str">
        <f t="shared" ca="1" si="11"/>
        <v>√</v>
      </c>
      <c r="O49" s="641"/>
      <c r="P49" s="641"/>
      <c r="Q49" s="641"/>
      <c r="R49" s="641"/>
    </row>
    <row r="50" spans="1:18" ht="26">
      <c r="A50" s="30"/>
      <c r="B50" s="3067" t="s">
        <v>435</v>
      </c>
      <c r="C50" s="3068" t="s">
        <v>428</v>
      </c>
      <c r="D50" s="3069">
        <v>1999</v>
      </c>
      <c r="E50" s="3075" t="str">
        <f t="shared" si="8"/>
        <v>资产</v>
      </c>
      <c r="F50" s="3070">
        <f>Area_RepDate1</f>
        <v>43465</v>
      </c>
      <c r="G50" s="3080">
        <f ca="1">INDIRECT(C50&amp;"!CheckB"&amp;D50)</f>
        <v>18285.68</v>
      </c>
      <c r="H50" s="3071" t="s">
        <v>428</v>
      </c>
      <c r="I50" s="3069">
        <v>5000</v>
      </c>
      <c r="J50" s="3075" t="str">
        <f t="shared" si="9"/>
        <v>负债和所有者权益</v>
      </c>
      <c r="K50" s="3070">
        <f>Area_RepDate1</f>
        <v>43465</v>
      </c>
      <c r="L50" s="3080">
        <f ca="1">INDIRECT(H50&amp;"!CheckB"&amp;I50)</f>
        <v>18285.68</v>
      </c>
      <c r="M50" s="3072">
        <f t="shared" ca="1" si="10"/>
        <v>0</v>
      </c>
      <c r="N50" s="3073" t="str">
        <f t="shared" ca="1" si="11"/>
        <v>√</v>
      </c>
      <c r="O50" s="641"/>
      <c r="P50" s="641"/>
      <c r="Q50" s="641"/>
      <c r="R50" s="641"/>
    </row>
    <row r="51" spans="1:18" ht="39">
      <c r="A51" s="30"/>
      <c r="B51" s="3067" t="s">
        <v>440</v>
      </c>
      <c r="C51" s="3068" t="s">
        <v>441</v>
      </c>
      <c r="D51" s="3069">
        <v>6839</v>
      </c>
      <c r="E51" s="3076" t="str">
        <f t="shared" si="8"/>
        <v>综合收益总额</v>
      </c>
      <c r="F51" s="3070" t="str">
        <f>Area_RepDuration</f>
        <v>2019年度</v>
      </c>
      <c r="G51" s="3081">
        <f ca="1">INDIRECT(C51&amp;"!CheckA"&amp;D51)</f>
        <v>-2324.91</v>
      </c>
      <c r="H51" s="3071" t="s">
        <v>442</v>
      </c>
      <c r="I51" s="3069">
        <v>8040</v>
      </c>
      <c r="J51" s="3076" t="str">
        <f t="shared" si="9"/>
        <v>所有者权益_综合收益总额增加权益</v>
      </c>
      <c r="K51" s="3070" t="str">
        <f>Area_RepDuration</f>
        <v>2019年度</v>
      </c>
      <c r="L51" s="3081">
        <f ca="1">INDIRECT(H51&amp;"!CheckA"&amp;I51)</f>
        <v>-2324.91</v>
      </c>
      <c r="M51" s="3072">
        <f t="shared" ca="1" si="10"/>
        <v>0</v>
      </c>
      <c r="N51" s="3073" t="str">
        <f t="shared" ca="1" si="11"/>
        <v>√</v>
      </c>
      <c r="O51" s="641"/>
      <c r="P51" s="641"/>
      <c r="Q51" s="641"/>
      <c r="R51" s="641"/>
    </row>
    <row r="52" spans="1:18" ht="39">
      <c r="A52" s="30"/>
      <c r="B52" s="3067" t="s">
        <v>450</v>
      </c>
      <c r="C52" s="3068" t="s">
        <v>441</v>
      </c>
      <c r="D52" s="3069">
        <v>6839</v>
      </c>
      <c r="E52" s="3075" t="str">
        <f t="shared" si="8"/>
        <v>综合收益总额</v>
      </c>
      <c r="F52" s="3070" t="str">
        <f>Area_RepDuration1</f>
        <v>2018年度</v>
      </c>
      <c r="G52" s="3080">
        <f ca="1">INDIRECT(C52&amp;"!CheckB"&amp;D52)</f>
        <v>-1714.32</v>
      </c>
      <c r="H52" s="3071" t="s">
        <v>442</v>
      </c>
      <c r="I52" s="3069">
        <v>8040</v>
      </c>
      <c r="J52" s="3075" t="str">
        <f t="shared" si="9"/>
        <v>所有者权益_综合收益总额增加权益</v>
      </c>
      <c r="K52" s="3070" t="str">
        <f t="shared" ref="K52:K61" si="12">Area_RepDuration1</f>
        <v>2018年度</v>
      </c>
      <c r="L52" s="3080">
        <f t="shared" ref="L52:L61" ca="1" si="13">INDIRECT(H52&amp;"!CheckB"&amp;I52)</f>
        <v>-1714.32</v>
      </c>
      <c r="M52" s="3072">
        <f t="shared" ca="1" si="10"/>
        <v>0</v>
      </c>
      <c r="N52" s="3073" t="str">
        <f t="shared" ca="1" si="11"/>
        <v>√</v>
      </c>
      <c r="O52" s="641"/>
      <c r="P52" s="641"/>
      <c r="Q52" s="641"/>
      <c r="R52" s="641"/>
    </row>
    <row r="53" spans="1:18" ht="26">
      <c r="A53" s="30"/>
      <c r="B53" s="3067" t="s">
        <v>455</v>
      </c>
      <c r="C53" s="3068" t="s">
        <v>442</v>
      </c>
      <c r="D53" s="3069">
        <v>8110</v>
      </c>
      <c r="E53" s="3076" t="str">
        <f t="shared" si="8"/>
        <v>实收资本_本年年初余额</v>
      </c>
      <c r="F53" s="3070" t="str">
        <f t="shared" ref="F53:F62" si="14">Area_RepDuration</f>
        <v>2019年度</v>
      </c>
      <c r="G53" s="3081">
        <f t="shared" ref="G53:G62" ca="1" si="15">INDIRECT(C53&amp;"!CheckA"&amp;D53)</f>
        <v>0</v>
      </c>
      <c r="H53" s="3071" t="s">
        <v>442</v>
      </c>
      <c r="I53" s="3069">
        <v>8199</v>
      </c>
      <c r="J53" s="3075" t="str">
        <f t="shared" si="9"/>
        <v>实收资本_本期期末余额</v>
      </c>
      <c r="K53" s="3070" t="str">
        <f t="shared" si="12"/>
        <v>2018年度</v>
      </c>
      <c r="L53" s="3080">
        <f t="shared" ca="1" si="13"/>
        <v>0</v>
      </c>
      <c r="M53" s="3072">
        <f t="shared" ca="1" si="10"/>
        <v>0</v>
      </c>
      <c r="N53" s="3073" t="str">
        <f t="shared" ca="1" si="11"/>
        <v>√</v>
      </c>
      <c r="O53" s="641"/>
      <c r="P53" s="641"/>
      <c r="Q53" s="641"/>
      <c r="R53" s="641"/>
    </row>
    <row r="54" spans="1:18" ht="26">
      <c r="A54" s="30"/>
      <c r="B54" s="3067" t="s">
        <v>458</v>
      </c>
      <c r="C54" s="3068" t="s">
        <v>442</v>
      </c>
      <c r="D54" s="3069">
        <v>8210</v>
      </c>
      <c r="E54" s="3076" t="str">
        <f t="shared" si="8"/>
        <v>资本公积_本年年初余额</v>
      </c>
      <c r="F54" s="3070" t="str">
        <f t="shared" si="14"/>
        <v>2019年度</v>
      </c>
      <c r="G54" s="3081">
        <f t="shared" ca="1" si="15"/>
        <v>0</v>
      </c>
      <c r="H54" s="3071" t="s">
        <v>442</v>
      </c>
      <c r="I54" s="3069">
        <v>8299</v>
      </c>
      <c r="J54" s="3075" t="str">
        <f t="shared" si="9"/>
        <v>资本公积_本期期末余额</v>
      </c>
      <c r="K54" s="3070" t="str">
        <f t="shared" si="12"/>
        <v>2018年度</v>
      </c>
      <c r="L54" s="3080">
        <f t="shared" ca="1" si="13"/>
        <v>0</v>
      </c>
      <c r="M54" s="3072">
        <f t="shared" ca="1" si="10"/>
        <v>0</v>
      </c>
      <c r="N54" s="3073" t="str">
        <f t="shared" ca="1" si="11"/>
        <v>√</v>
      </c>
      <c r="O54" s="641"/>
      <c r="P54" s="641"/>
      <c r="Q54" s="641"/>
      <c r="R54" s="641"/>
    </row>
    <row r="55" spans="1:18" ht="26">
      <c r="A55" s="30"/>
      <c r="B55" s="3067" t="s">
        <v>463</v>
      </c>
      <c r="C55" s="3068" t="s">
        <v>442</v>
      </c>
      <c r="D55" s="3069">
        <v>8310</v>
      </c>
      <c r="E55" s="3076" t="str">
        <f t="shared" si="8"/>
        <v>库存股_本年年初余额</v>
      </c>
      <c r="F55" s="3070" t="str">
        <f t="shared" si="14"/>
        <v>2019年度</v>
      </c>
      <c r="G55" s="3081">
        <f t="shared" ca="1" si="15"/>
        <v>0</v>
      </c>
      <c r="H55" s="3071" t="s">
        <v>442</v>
      </c>
      <c r="I55" s="3069">
        <v>8399</v>
      </c>
      <c r="J55" s="3075" t="str">
        <f t="shared" si="9"/>
        <v>库存股_本期期末余额</v>
      </c>
      <c r="K55" s="3070" t="str">
        <f t="shared" si="12"/>
        <v>2018年度</v>
      </c>
      <c r="L55" s="3080">
        <f t="shared" ca="1" si="13"/>
        <v>0</v>
      </c>
      <c r="M55" s="3072">
        <f t="shared" ca="1" si="10"/>
        <v>0</v>
      </c>
      <c r="N55" s="3073" t="str">
        <f t="shared" ca="1" si="11"/>
        <v>√</v>
      </c>
      <c r="O55" s="641"/>
      <c r="P55" s="641"/>
      <c r="Q55" s="641"/>
      <c r="R55" s="641"/>
    </row>
    <row r="56" spans="1:18" ht="26">
      <c r="A56" s="30"/>
      <c r="B56" s="3067" t="s">
        <v>468</v>
      </c>
      <c r="C56" s="3068" t="s">
        <v>442</v>
      </c>
      <c r="D56" s="3069">
        <v>8410</v>
      </c>
      <c r="E56" s="3076" t="str">
        <f t="shared" si="8"/>
        <v>专项储备_本年年初余额</v>
      </c>
      <c r="F56" s="3070" t="str">
        <f t="shared" si="14"/>
        <v>2019年度</v>
      </c>
      <c r="G56" s="3081">
        <f t="shared" ca="1" si="15"/>
        <v>0</v>
      </c>
      <c r="H56" s="3071" t="s">
        <v>442</v>
      </c>
      <c r="I56" s="3069">
        <v>8499</v>
      </c>
      <c r="J56" s="3075" t="str">
        <f t="shared" si="9"/>
        <v>专项储备_本期期末余额</v>
      </c>
      <c r="K56" s="3070" t="str">
        <f t="shared" si="12"/>
        <v>2018年度</v>
      </c>
      <c r="L56" s="3080">
        <f t="shared" ca="1" si="13"/>
        <v>0</v>
      </c>
      <c r="M56" s="3072">
        <f t="shared" ca="1" si="10"/>
        <v>0</v>
      </c>
      <c r="N56" s="3073" t="str">
        <f t="shared" ca="1" si="11"/>
        <v>√</v>
      </c>
      <c r="O56" s="641"/>
      <c r="P56" s="641"/>
      <c r="Q56" s="641"/>
      <c r="R56" s="641"/>
    </row>
    <row r="57" spans="1:18" ht="26">
      <c r="A57" s="30"/>
      <c r="B57" s="3067" t="s">
        <v>472</v>
      </c>
      <c r="C57" s="3068" t="s">
        <v>442</v>
      </c>
      <c r="D57" s="3069">
        <v>8510</v>
      </c>
      <c r="E57" s="3076" t="str">
        <f t="shared" si="8"/>
        <v>盈余公积_本年年初余额</v>
      </c>
      <c r="F57" s="3070" t="str">
        <f t="shared" si="14"/>
        <v>2019年度</v>
      </c>
      <c r="G57" s="3081">
        <f t="shared" ca="1" si="15"/>
        <v>0</v>
      </c>
      <c r="H57" s="3071" t="s">
        <v>442</v>
      </c>
      <c r="I57" s="3069">
        <v>8599</v>
      </c>
      <c r="J57" s="3075" t="str">
        <f t="shared" si="9"/>
        <v>盈余公积_本期期末余额</v>
      </c>
      <c r="K57" s="3070" t="str">
        <f t="shared" si="12"/>
        <v>2018年度</v>
      </c>
      <c r="L57" s="3080">
        <f t="shared" ca="1" si="13"/>
        <v>0</v>
      </c>
      <c r="M57" s="3072">
        <f t="shared" ca="1" si="10"/>
        <v>0</v>
      </c>
      <c r="N57" s="3073" t="str">
        <f t="shared" ca="1" si="11"/>
        <v>√</v>
      </c>
      <c r="O57" s="641"/>
      <c r="P57" s="641"/>
      <c r="Q57" s="641"/>
      <c r="R57" s="641"/>
    </row>
    <row r="58" spans="1:18" ht="26">
      <c r="A58" s="30"/>
      <c r="B58" s="3067" t="s">
        <v>477</v>
      </c>
      <c r="C58" s="3068" t="s">
        <v>442</v>
      </c>
      <c r="D58" s="3069">
        <v>8610</v>
      </c>
      <c r="E58" s="3076" t="str">
        <f t="shared" si="8"/>
        <v>一般风险准备_本年年初余额</v>
      </c>
      <c r="F58" s="3070" t="str">
        <f t="shared" si="14"/>
        <v>2019年度</v>
      </c>
      <c r="G58" s="3081" t="e">
        <f t="shared" ca="1" si="15"/>
        <v>#REF!</v>
      </c>
      <c r="H58" s="3071" t="s">
        <v>442</v>
      </c>
      <c r="I58" s="3069">
        <v>8699</v>
      </c>
      <c r="J58" s="3075" t="str">
        <f t="shared" si="9"/>
        <v>一般风险准备_本期期末余额</v>
      </c>
      <c r="K58" s="3070" t="str">
        <f t="shared" si="12"/>
        <v>2018年度</v>
      </c>
      <c r="L58" s="3080">
        <f t="shared" ca="1" si="13"/>
        <v>0</v>
      </c>
      <c r="M58" s="3072" t="e">
        <f t="shared" ca="1" si="10"/>
        <v>#REF!</v>
      </c>
      <c r="N58" s="3073" t="e">
        <f t="shared" ca="1" si="11"/>
        <v>#REF!</v>
      </c>
      <c r="O58" s="641"/>
      <c r="P58" s="641"/>
      <c r="Q58" s="641"/>
      <c r="R58" s="641"/>
    </row>
    <row r="59" spans="1:18" ht="26">
      <c r="A59" s="30"/>
      <c r="B59" s="3067" t="s">
        <v>481</v>
      </c>
      <c r="C59" s="3068" t="s">
        <v>442</v>
      </c>
      <c r="D59" s="3069">
        <v>8710</v>
      </c>
      <c r="E59" s="3076" t="str">
        <f t="shared" si="8"/>
        <v>未分配利润_本年年初余额</v>
      </c>
      <c r="F59" s="3070" t="str">
        <f t="shared" si="14"/>
        <v>2019年度</v>
      </c>
      <c r="G59" s="3081">
        <f t="shared" ca="1" si="15"/>
        <v>-1714.32</v>
      </c>
      <c r="H59" s="3071" t="s">
        <v>442</v>
      </c>
      <c r="I59" s="3069">
        <v>8799</v>
      </c>
      <c r="J59" s="3075" t="str">
        <f t="shared" si="9"/>
        <v>未分配利润_本期期末余额</v>
      </c>
      <c r="K59" s="3070" t="str">
        <f t="shared" si="12"/>
        <v>2018年度</v>
      </c>
      <c r="L59" s="3080">
        <f t="shared" ca="1" si="13"/>
        <v>-1714.32</v>
      </c>
      <c r="M59" s="3072">
        <f t="shared" ca="1" si="10"/>
        <v>0</v>
      </c>
      <c r="N59" s="3073" t="str">
        <f t="shared" ca="1" si="11"/>
        <v>√</v>
      </c>
      <c r="O59" s="641"/>
      <c r="P59" s="641"/>
      <c r="Q59" s="641"/>
      <c r="R59" s="641"/>
    </row>
    <row r="60" spans="1:18" ht="39">
      <c r="A60" s="30"/>
      <c r="B60" s="3067" t="s">
        <v>485</v>
      </c>
      <c r="C60" s="3068" t="s">
        <v>442</v>
      </c>
      <c r="D60" s="3069">
        <v>8810</v>
      </c>
      <c r="E60" s="3076" t="str">
        <f t="shared" si="8"/>
        <v>其他归属于母公司所有者权益_本年年初余额</v>
      </c>
      <c r="F60" s="3070" t="str">
        <f t="shared" si="14"/>
        <v>2019年度</v>
      </c>
      <c r="G60" s="3081">
        <f t="shared" ca="1" si="15"/>
        <v>0</v>
      </c>
      <c r="H60" s="3071" t="s">
        <v>442</v>
      </c>
      <c r="I60" s="3069">
        <v>8899</v>
      </c>
      <c r="J60" s="3075" t="str">
        <f t="shared" si="9"/>
        <v>其他归属于母公司所有者权益_本期期末余额</v>
      </c>
      <c r="K60" s="3070" t="str">
        <f t="shared" si="12"/>
        <v>2018年度</v>
      </c>
      <c r="L60" s="3080">
        <f t="shared" ca="1" si="13"/>
        <v>0</v>
      </c>
      <c r="M60" s="3072">
        <f t="shared" ca="1" si="10"/>
        <v>0</v>
      </c>
      <c r="N60" s="3073" t="str">
        <f t="shared" ca="1" si="11"/>
        <v>√</v>
      </c>
      <c r="O60" s="641"/>
      <c r="P60" s="641"/>
      <c r="Q60" s="641"/>
      <c r="R60" s="641"/>
    </row>
    <row r="61" spans="1:18" ht="26">
      <c r="A61" s="30"/>
      <c r="B61" s="3067" t="s">
        <v>490</v>
      </c>
      <c r="C61" s="3068" t="s">
        <v>442</v>
      </c>
      <c r="D61" s="3069">
        <v>8010</v>
      </c>
      <c r="E61" s="3076" t="str">
        <f t="shared" si="8"/>
        <v>所有者权益_本年年初余额</v>
      </c>
      <c r="F61" s="3070" t="str">
        <f t="shared" si="14"/>
        <v>2019年度</v>
      </c>
      <c r="G61" s="3081">
        <f t="shared" ca="1" si="15"/>
        <v>-1714.32</v>
      </c>
      <c r="H61" s="3071" t="s">
        <v>442</v>
      </c>
      <c r="I61" s="3069">
        <v>8099</v>
      </c>
      <c r="J61" s="3075" t="str">
        <f t="shared" si="9"/>
        <v>所有者权益_本期期末余额</v>
      </c>
      <c r="K61" s="3070" t="str">
        <f t="shared" si="12"/>
        <v>2018年度</v>
      </c>
      <c r="L61" s="3080">
        <f t="shared" ca="1" si="13"/>
        <v>-1714.32</v>
      </c>
      <c r="M61" s="3072">
        <f t="shared" ca="1" si="10"/>
        <v>0</v>
      </c>
      <c r="N61" s="3073" t="str">
        <f t="shared" ca="1" si="11"/>
        <v>√</v>
      </c>
      <c r="O61" s="641"/>
      <c r="P61" s="641"/>
      <c r="Q61" s="641"/>
      <c r="R61" s="641"/>
    </row>
    <row r="62" spans="1:18" ht="26">
      <c r="A62" s="30"/>
      <c r="B62" s="3067" t="s">
        <v>495</v>
      </c>
      <c r="C62" s="3068" t="s">
        <v>442</v>
      </c>
      <c r="D62" s="3069">
        <v>8199</v>
      </c>
      <c r="E62" s="3076" t="str">
        <f t="shared" si="8"/>
        <v>实收资本_本期期末余额</v>
      </c>
      <c r="F62" s="3070" t="str">
        <f t="shared" si="14"/>
        <v>2019年度</v>
      </c>
      <c r="G62" s="3081">
        <f t="shared" ca="1" si="15"/>
        <v>0</v>
      </c>
      <c r="H62" s="3071" t="s">
        <v>428</v>
      </c>
      <c r="I62" s="3069">
        <v>4001</v>
      </c>
      <c r="J62" s="3076" t="str">
        <f t="shared" si="9"/>
        <v>实收资本</v>
      </c>
      <c r="K62" s="3070">
        <f>Area_RepDate</f>
        <v>43830</v>
      </c>
      <c r="L62" s="3081">
        <f ca="1">INDIRECT(H62&amp;"!CheckA"&amp;I62)</f>
        <v>0</v>
      </c>
      <c r="M62" s="3072">
        <f t="shared" ca="1" si="10"/>
        <v>0</v>
      </c>
      <c r="N62" s="3073" t="str">
        <f t="shared" ca="1" si="11"/>
        <v>√</v>
      </c>
      <c r="O62" s="641"/>
      <c r="P62" s="641"/>
      <c r="Q62" s="641"/>
      <c r="R62" s="641"/>
    </row>
    <row r="63" spans="1:18" ht="26">
      <c r="A63" s="30"/>
      <c r="B63" s="3067" t="s">
        <v>500</v>
      </c>
      <c r="C63" s="3068" t="s">
        <v>442</v>
      </c>
      <c r="D63" s="3069">
        <v>8199</v>
      </c>
      <c r="E63" s="3075" t="str">
        <f t="shared" si="8"/>
        <v>实收资本_本期期末余额</v>
      </c>
      <c r="F63" s="3070" t="str">
        <f>Area_RepDuration1</f>
        <v>2018年度</v>
      </c>
      <c r="G63" s="3080">
        <f ca="1">INDIRECT(C63&amp;"!CheckB"&amp;D63)</f>
        <v>0</v>
      </c>
      <c r="H63" s="3071" t="s">
        <v>428</v>
      </c>
      <c r="I63" s="3069">
        <v>4001</v>
      </c>
      <c r="J63" s="3075" t="str">
        <f t="shared" si="9"/>
        <v>实收资本</v>
      </c>
      <c r="K63" s="3070">
        <f>Area_RepDate1</f>
        <v>43465</v>
      </c>
      <c r="L63" s="3080">
        <f ca="1">INDIRECT(H63&amp;"!CheckB"&amp;I63)</f>
        <v>0</v>
      </c>
      <c r="M63" s="3072">
        <f t="shared" ca="1" si="10"/>
        <v>0</v>
      </c>
      <c r="N63" s="3073" t="str">
        <f t="shared" ca="1" si="11"/>
        <v>√</v>
      </c>
      <c r="O63" s="641"/>
      <c r="P63" s="641"/>
      <c r="Q63" s="641"/>
      <c r="R63" s="641"/>
    </row>
    <row r="64" spans="1:18" ht="26">
      <c r="A64" s="30"/>
      <c r="B64" s="3067" t="s">
        <v>508</v>
      </c>
      <c r="C64" s="3068" t="s">
        <v>442</v>
      </c>
      <c r="D64" s="3069">
        <v>8299</v>
      </c>
      <c r="E64" s="3076" t="str">
        <f t="shared" si="8"/>
        <v>资本公积_本期期末余额</v>
      </c>
      <c r="F64" s="3070" t="str">
        <f>Area_RepDuration</f>
        <v>2019年度</v>
      </c>
      <c r="G64" s="3081">
        <f ca="1">INDIRECT(C64&amp;"!CheckA"&amp;D64)</f>
        <v>0</v>
      </c>
      <c r="H64" s="3071" t="s">
        <v>428</v>
      </c>
      <c r="I64" s="3069">
        <v>4002</v>
      </c>
      <c r="J64" s="3076" t="str">
        <f t="shared" si="9"/>
        <v>资本公积</v>
      </c>
      <c r="K64" s="3070">
        <f>Area_RepDate</f>
        <v>43830</v>
      </c>
      <c r="L64" s="3081">
        <f ca="1">INDIRECT(H64&amp;"!CheckA"&amp;I64)</f>
        <v>0</v>
      </c>
      <c r="M64" s="3072">
        <f t="shared" ca="1" si="10"/>
        <v>0</v>
      </c>
      <c r="N64" s="3073" t="str">
        <f t="shared" ca="1" si="11"/>
        <v>√</v>
      </c>
      <c r="O64" s="641"/>
      <c r="P64" s="641"/>
      <c r="Q64" s="641"/>
      <c r="R64" s="641"/>
    </row>
    <row r="65" spans="1:18" ht="26">
      <c r="A65" s="30"/>
      <c r="B65" s="3067" t="s">
        <v>514</v>
      </c>
      <c r="C65" s="3068" t="s">
        <v>442</v>
      </c>
      <c r="D65" s="3069">
        <v>8299</v>
      </c>
      <c r="E65" s="3075" t="str">
        <f t="shared" si="8"/>
        <v>资本公积_本期期末余额</v>
      </c>
      <c r="F65" s="3070" t="str">
        <f>Area_RepDuration1</f>
        <v>2018年度</v>
      </c>
      <c r="G65" s="3080">
        <f ca="1">INDIRECT(C65&amp;"!CheckB"&amp;D65)</f>
        <v>0</v>
      </c>
      <c r="H65" s="3071" t="s">
        <v>428</v>
      </c>
      <c r="I65" s="3069">
        <v>4002</v>
      </c>
      <c r="J65" s="3075" t="str">
        <f t="shared" si="9"/>
        <v>资本公积</v>
      </c>
      <c r="K65" s="3070">
        <f>Area_RepDate1</f>
        <v>43465</v>
      </c>
      <c r="L65" s="3080">
        <f ca="1">INDIRECT(H65&amp;"!CheckB"&amp;I65)</f>
        <v>0</v>
      </c>
      <c r="M65" s="3072">
        <f t="shared" ca="1" si="10"/>
        <v>0</v>
      </c>
      <c r="N65" s="3073" t="str">
        <f t="shared" ca="1" si="11"/>
        <v>√</v>
      </c>
      <c r="O65" s="641"/>
      <c r="P65" s="641"/>
      <c r="Q65" s="641"/>
      <c r="R65" s="641"/>
    </row>
    <row r="66" spans="1:18" ht="26">
      <c r="A66" s="30"/>
      <c r="B66" s="3067" t="s">
        <v>520</v>
      </c>
      <c r="C66" s="3068" t="s">
        <v>442</v>
      </c>
      <c r="D66" s="3069">
        <v>8399</v>
      </c>
      <c r="E66" s="3076" t="str">
        <f t="shared" si="8"/>
        <v>库存股_本期期末余额</v>
      </c>
      <c r="F66" s="3070" t="str">
        <f>Area_RepDuration</f>
        <v>2019年度</v>
      </c>
      <c r="G66" s="3081">
        <f ca="1">INDIRECT(C66&amp;"!CheckA"&amp;D66)</f>
        <v>0</v>
      </c>
      <c r="H66" s="3071" t="s">
        <v>428</v>
      </c>
      <c r="I66" s="3069">
        <v>4201</v>
      </c>
      <c r="J66" s="3076" t="str">
        <f t="shared" si="9"/>
        <v>库存股</v>
      </c>
      <c r="K66" s="3070">
        <f>Area_RepDate</f>
        <v>43830</v>
      </c>
      <c r="L66" s="3081">
        <f ca="1">INDIRECT(H66&amp;"!CheckA"&amp;I66)</f>
        <v>0</v>
      </c>
      <c r="M66" s="3072">
        <f t="shared" ca="1" si="10"/>
        <v>0</v>
      </c>
      <c r="N66" s="3073" t="str">
        <f t="shared" ca="1" si="11"/>
        <v>√</v>
      </c>
      <c r="O66" s="641"/>
      <c r="P66" s="641"/>
      <c r="Q66" s="641"/>
      <c r="R66" s="641"/>
    </row>
    <row r="67" spans="1:18" ht="26">
      <c r="A67" s="30"/>
      <c r="B67" s="3067" t="s">
        <v>525</v>
      </c>
      <c r="C67" s="3068" t="s">
        <v>442</v>
      </c>
      <c r="D67" s="3069">
        <v>8399</v>
      </c>
      <c r="E67" s="3075" t="str">
        <f t="shared" si="8"/>
        <v>库存股_本期期末余额</v>
      </c>
      <c r="F67" s="3070" t="str">
        <f>Area_RepDuration1</f>
        <v>2018年度</v>
      </c>
      <c r="G67" s="3080">
        <f ca="1">INDIRECT(C67&amp;"!CheckB"&amp;D67)</f>
        <v>0</v>
      </c>
      <c r="H67" s="3071" t="s">
        <v>428</v>
      </c>
      <c r="I67" s="3069">
        <v>4201</v>
      </c>
      <c r="J67" s="3075" t="str">
        <f t="shared" si="9"/>
        <v>库存股</v>
      </c>
      <c r="K67" s="3070">
        <f>Area_RepDate1</f>
        <v>43465</v>
      </c>
      <c r="L67" s="3080">
        <f ca="1">INDIRECT(H67&amp;"!CheckB"&amp;I67)</f>
        <v>0</v>
      </c>
      <c r="M67" s="3072">
        <f t="shared" ca="1" si="10"/>
        <v>0</v>
      </c>
      <c r="N67" s="3073" t="str">
        <f t="shared" ca="1" si="11"/>
        <v>√</v>
      </c>
      <c r="O67" s="641"/>
      <c r="P67" s="641"/>
      <c r="Q67" s="641"/>
      <c r="R67" s="641"/>
    </row>
    <row r="68" spans="1:18" ht="26">
      <c r="A68" s="30"/>
      <c r="B68" s="3067" t="s">
        <v>530</v>
      </c>
      <c r="C68" s="3068" t="s">
        <v>442</v>
      </c>
      <c r="D68" s="3069">
        <v>8499</v>
      </c>
      <c r="E68" s="3076" t="str">
        <f t="shared" si="8"/>
        <v>专项储备_本期期末余额</v>
      </c>
      <c r="F68" s="3070" t="str">
        <f>Area_RepDuration</f>
        <v>2019年度</v>
      </c>
      <c r="G68" s="3081">
        <f ca="1">INDIRECT(C68&amp;"!CheckA"&amp;D68)</f>
        <v>0</v>
      </c>
      <c r="H68" s="3071" t="s">
        <v>428</v>
      </c>
      <c r="I68" s="3069">
        <v>4301</v>
      </c>
      <c r="J68" s="3076" t="str">
        <f t="shared" si="9"/>
        <v>专项储备</v>
      </c>
      <c r="K68" s="3070">
        <f>Area_RepDate</f>
        <v>43830</v>
      </c>
      <c r="L68" s="3081">
        <f ca="1">INDIRECT(H68&amp;"!CheckA"&amp;I68)</f>
        <v>0</v>
      </c>
      <c r="M68" s="3072">
        <f t="shared" ca="1" si="10"/>
        <v>0</v>
      </c>
      <c r="N68" s="3073" t="str">
        <f t="shared" ca="1" si="11"/>
        <v>√</v>
      </c>
      <c r="O68" s="641"/>
      <c r="P68" s="641"/>
      <c r="Q68" s="641"/>
      <c r="R68" s="641"/>
    </row>
    <row r="69" spans="1:18" ht="26">
      <c r="A69" s="30"/>
      <c r="B69" s="3067" t="s">
        <v>535</v>
      </c>
      <c r="C69" s="3068" t="s">
        <v>442</v>
      </c>
      <c r="D69" s="3069">
        <v>8499</v>
      </c>
      <c r="E69" s="3075" t="str">
        <f t="shared" si="8"/>
        <v>专项储备_本期期末余额</v>
      </c>
      <c r="F69" s="3070" t="str">
        <f>Area_RepDuration1</f>
        <v>2018年度</v>
      </c>
      <c r="G69" s="3080">
        <f ca="1">INDIRECT(C69&amp;"!CheckB"&amp;D69)</f>
        <v>0</v>
      </c>
      <c r="H69" s="3071" t="s">
        <v>428</v>
      </c>
      <c r="I69" s="3069">
        <v>4301</v>
      </c>
      <c r="J69" s="3075" t="str">
        <f t="shared" si="9"/>
        <v>专项储备</v>
      </c>
      <c r="K69" s="3070">
        <f>Area_RepDate1</f>
        <v>43465</v>
      </c>
      <c r="L69" s="3080">
        <f ca="1">INDIRECT(H69&amp;"!CheckB"&amp;I69)</f>
        <v>0</v>
      </c>
      <c r="M69" s="3072">
        <f t="shared" ca="1" si="10"/>
        <v>0</v>
      </c>
      <c r="N69" s="3073" t="str">
        <f t="shared" ca="1" si="11"/>
        <v>√</v>
      </c>
      <c r="O69" s="641"/>
      <c r="P69" s="641"/>
      <c r="Q69" s="641"/>
      <c r="R69" s="641"/>
    </row>
    <row r="70" spans="1:18" ht="26">
      <c r="A70" s="30"/>
      <c r="B70" s="3067" t="s">
        <v>542</v>
      </c>
      <c r="C70" s="3068" t="s">
        <v>442</v>
      </c>
      <c r="D70" s="3069">
        <v>8599</v>
      </c>
      <c r="E70" s="3076" t="str">
        <f t="shared" si="8"/>
        <v>盈余公积_本期期末余额</v>
      </c>
      <c r="F70" s="3070" t="str">
        <f>Area_RepDuration</f>
        <v>2019年度</v>
      </c>
      <c r="G70" s="3081">
        <f ca="1">INDIRECT(C70&amp;"!CheckA"&amp;D70)</f>
        <v>0</v>
      </c>
      <c r="H70" s="3071" t="s">
        <v>428</v>
      </c>
      <c r="I70" s="3069">
        <v>4101</v>
      </c>
      <c r="J70" s="3076" t="str">
        <f t="shared" si="9"/>
        <v>盈余公积</v>
      </c>
      <c r="K70" s="3070">
        <f>Area_RepDate</f>
        <v>43830</v>
      </c>
      <c r="L70" s="3081">
        <f ca="1">INDIRECT(H70&amp;"!CheckA"&amp;I70)</f>
        <v>0</v>
      </c>
      <c r="M70" s="3072">
        <f t="shared" ca="1" si="10"/>
        <v>0</v>
      </c>
      <c r="N70" s="3073" t="str">
        <f t="shared" ca="1" si="11"/>
        <v>√</v>
      </c>
      <c r="O70" s="641"/>
      <c r="P70" s="641"/>
      <c r="Q70" s="641"/>
      <c r="R70" s="641"/>
    </row>
    <row r="71" spans="1:18" ht="26">
      <c r="A71" s="30"/>
      <c r="B71" s="3067" t="s">
        <v>547</v>
      </c>
      <c r="C71" s="3068" t="s">
        <v>442</v>
      </c>
      <c r="D71" s="3069">
        <v>8599</v>
      </c>
      <c r="E71" s="3075" t="str">
        <f t="shared" si="8"/>
        <v>盈余公积_本期期末余额</v>
      </c>
      <c r="F71" s="3070" t="str">
        <f>Area_RepDuration1</f>
        <v>2018年度</v>
      </c>
      <c r="G71" s="3080">
        <f ca="1">INDIRECT(C71&amp;"!CheckB"&amp;D71)</f>
        <v>0</v>
      </c>
      <c r="H71" s="3071" t="s">
        <v>428</v>
      </c>
      <c r="I71" s="3069">
        <v>4101</v>
      </c>
      <c r="J71" s="3075" t="str">
        <f t="shared" si="9"/>
        <v>盈余公积</v>
      </c>
      <c r="K71" s="3070">
        <f>Area_RepDate1</f>
        <v>43465</v>
      </c>
      <c r="L71" s="3080">
        <f ca="1">INDIRECT(H71&amp;"!CheckB"&amp;I71)</f>
        <v>0</v>
      </c>
      <c r="M71" s="3072">
        <f t="shared" ca="1" si="10"/>
        <v>0</v>
      </c>
      <c r="N71" s="3073" t="str">
        <f t="shared" ca="1" si="11"/>
        <v>√</v>
      </c>
      <c r="O71" s="641"/>
      <c r="P71" s="641"/>
      <c r="Q71" s="641"/>
      <c r="R71" s="641"/>
    </row>
    <row r="72" spans="1:18" ht="26">
      <c r="A72" s="30"/>
      <c r="B72" s="3067" t="s">
        <v>551</v>
      </c>
      <c r="C72" s="3068" t="s">
        <v>442</v>
      </c>
      <c r="D72" s="3069">
        <v>8699</v>
      </c>
      <c r="E72" s="3076" t="str">
        <f t="shared" si="8"/>
        <v>一般风险准备_本期期末余额</v>
      </c>
      <c r="F72" s="3070" t="str">
        <f>Area_RepDuration</f>
        <v>2019年度</v>
      </c>
      <c r="G72" s="3081">
        <f ca="1">INDIRECT(C72&amp;"!CheckA"&amp;D72)</f>
        <v>0</v>
      </c>
      <c r="H72" s="3071" t="s">
        <v>428</v>
      </c>
      <c r="I72" s="3069">
        <v>4102</v>
      </c>
      <c r="J72" s="3076" t="str">
        <f t="shared" si="9"/>
        <v>一般风险准备</v>
      </c>
      <c r="K72" s="3070">
        <f>Area_RepDate</f>
        <v>43830</v>
      </c>
      <c r="L72" s="3081">
        <f ca="1">INDIRECT(H72&amp;"!CheckA"&amp;I72)</f>
        <v>0</v>
      </c>
      <c r="M72" s="3072">
        <f t="shared" ca="1" si="10"/>
        <v>0</v>
      </c>
      <c r="N72" s="3073" t="str">
        <f t="shared" ca="1" si="11"/>
        <v>√</v>
      </c>
      <c r="O72" s="641"/>
      <c r="P72" s="641"/>
      <c r="Q72" s="641"/>
      <c r="R72" s="641"/>
    </row>
    <row r="73" spans="1:18" ht="26">
      <c r="A73" s="30"/>
      <c r="B73" s="3067" t="s">
        <v>555</v>
      </c>
      <c r="C73" s="3068" t="s">
        <v>442</v>
      </c>
      <c r="D73" s="3069">
        <v>8699</v>
      </c>
      <c r="E73" s="3075" t="str">
        <f t="shared" ref="E73:E84" si="16">VLOOKUP(D73,Sheet_Items,2,0)</f>
        <v>一般风险准备_本期期末余额</v>
      </c>
      <c r="F73" s="3070" t="str">
        <f>Area_RepDuration1</f>
        <v>2018年度</v>
      </c>
      <c r="G73" s="3080">
        <f ca="1">INDIRECT(C73&amp;"!CheckB"&amp;D73)</f>
        <v>0</v>
      </c>
      <c r="H73" s="3071" t="s">
        <v>428</v>
      </c>
      <c r="I73" s="3069">
        <v>4102</v>
      </c>
      <c r="J73" s="3075" t="str">
        <f t="shared" ref="J73:J84" si="17">VLOOKUP(I73,Sheet_Items,2,0)</f>
        <v>一般风险准备</v>
      </c>
      <c r="K73" s="3070">
        <f>Area_RepDate1</f>
        <v>43465</v>
      </c>
      <c r="L73" s="3080">
        <f ca="1">INDIRECT(H73&amp;"!CheckB"&amp;I73)</f>
        <v>0</v>
      </c>
      <c r="M73" s="3072">
        <f t="shared" ref="M73:M84" ca="1" si="18">ROUND(G73-L73,2)</f>
        <v>0</v>
      </c>
      <c r="N73" s="3073" t="str">
        <f t="shared" ref="N73:N84" ca="1" si="19">IF(M73=0,"√","×")</f>
        <v>√</v>
      </c>
      <c r="O73" s="641"/>
      <c r="P73" s="641"/>
      <c r="Q73" s="641"/>
      <c r="R73" s="641"/>
    </row>
    <row r="74" spans="1:18" ht="26">
      <c r="A74" s="30"/>
      <c r="B74" s="3067" t="s">
        <v>560</v>
      </c>
      <c r="C74" s="3068" t="s">
        <v>442</v>
      </c>
      <c r="D74" s="3069">
        <v>8799</v>
      </c>
      <c r="E74" s="3076" t="str">
        <f t="shared" si="16"/>
        <v>未分配利润_本期期末余额</v>
      </c>
      <c r="F74" s="3070" t="str">
        <f>Area_RepDuration</f>
        <v>2019年度</v>
      </c>
      <c r="G74" s="3081">
        <f ca="1">INDIRECT(C74&amp;"!CheckA"&amp;D74)</f>
        <v>-4039.23</v>
      </c>
      <c r="H74" s="3071" t="s">
        <v>428</v>
      </c>
      <c r="I74" s="3069">
        <v>4200</v>
      </c>
      <c r="J74" s="3076" t="str">
        <f t="shared" si="17"/>
        <v>未分配利润</v>
      </c>
      <c r="K74" s="3070">
        <f>Area_RepDate</f>
        <v>43830</v>
      </c>
      <c r="L74" s="3081">
        <f ca="1">INDIRECT(H74&amp;"!CheckA"&amp;I74)</f>
        <v>-4039.23</v>
      </c>
      <c r="M74" s="3072">
        <f t="shared" ca="1" si="18"/>
        <v>0</v>
      </c>
      <c r="N74" s="3073" t="str">
        <f t="shared" ca="1" si="19"/>
        <v>√</v>
      </c>
      <c r="O74" s="641"/>
      <c r="P74" s="641"/>
      <c r="Q74" s="641"/>
      <c r="R74" s="641"/>
    </row>
    <row r="75" spans="1:18" ht="26">
      <c r="A75" s="30"/>
      <c r="B75" s="3067" t="s">
        <v>563</v>
      </c>
      <c r="C75" s="3068" t="s">
        <v>442</v>
      </c>
      <c r="D75" s="3069">
        <v>8799</v>
      </c>
      <c r="E75" s="3075" t="str">
        <f t="shared" si="16"/>
        <v>未分配利润_本期期末余额</v>
      </c>
      <c r="F75" s="3070" t="str">
        <f>Area_RepDuration1</f>
        <v>2018年度</v>
      </c>
      <c r="G75" s="3080">
        <f ca="1">INDIRECT(C75&amp;"!CheckB"&amp;D75)</f>
        <v>-1714.32</v>
      </c>
      <c r="H75" s="3071" t="s">
        <v>428</v>
      </c>
      <c r="I75" s="3069">
        <v>4200</v>
      </c>
      <c r="J75" s="3075" t="str">
        <f t="shared" si="17"/>
        <v>未分配利润</v>
      </c>
      <c r="K75" s="3070">
        <f>Area_RepDate1</f>
        <v>43465</v>
      </c>
      <c r="L75" s="3080">
        <f ca="1">INDIRECT(H75&amp;"!CheckB"&amp;I75)</f>
        <v>-1714.32</v>
      </c>
      <c r="M75" s="3072">
        <f t="shared" ca="1" si="18"/>
        <v>0</v>
      </c>
      <c r="N75" s="3073" t="str">
        <f t="shared" ca="1" si="19"/>
        <v>√</v>
      </c>
      <c r="O75" s="641"/>
      <c r="P75" s="641"/>
      <c r="Q75" s="641"/>
      <c r="R75" s="641"/>
    </row>
    <row r="76" spans="1:18" ht="26">
      <c r="A76" s="30"/>
      <c r="B76" s="31" t="s">
        <v>565</v>
      </c>
      <c r="C76" s="35" t="s">
        <v>442</v>
      </c>
      <c r="D76" s="1269">
        <v>8099</v>
      </c>
      <c r="E76" s="3074" t="str">
        <f t="shared" si="16"/>
        <v>所有者权益_本期期末余额</v>
      </c>
      <c r="F76" s="1270" t="str">
        <f>Area_RepDuration</f>
        <v>2019年度</v>
      </c>
      <c r="G76" s="3079">
        <f ca="1">INDIRECT(C76&amp;"!CheckA"&amp;D76)</f>
        <v>-4039.23</v>
      </c>
      <c r="H76" s="1271" t="s">
        <v>428</v>
      </c>
      <c r="I76" s="1269">
        <v>4999</v>
      </c>
      <c r="J76" s="3074" t="str">
        <f t="shared" si="17"/>
        <v>所有者权益</v>
      </c>
      <c r="K76" s="1270">
        <f>Area_RepDate</f>
        <v>43830</v>
      </c>
      <c r="L76" s="3079">
        <f ca="1">INDIRECT(H76&amp;"!CheckA"&amp;I76)</f>
        <v>-4039.23</v>
      </c>
      <c r="M76" s="70">
        <f t="shared" ca="1" si="18"/>
        <v>0</v>
      </c>
      <c r="N76" s="1293" t="str">
        <f t="shared" ca="1" si="19"/>
        <v>√</v>
      </c>
      <c r="O76" s="641"/>
      <c r="P76" s="641"/>
      <c r="Q76" s="641"/>
      <c r="R76" s="641"/>
    </row>
    <row r="77" spans="1:18" ht="26">
      <c r="A77" s="30"/>
      <c r="B77" s="31" t="s">
        <v>571</v>
      </c>
      <c r="C77" s="35" t="s">
        <v>442</v>
      </c>
      <c r="D77" s="1269">
        <v>8099</v>
      </c>
      <c r="E77" s="3077" t="str">
        <f t="shared" si="16"/>
        <v>所有者权益_本期期末余额</v>
      </c>
      <c r="F77" s="1270" t="str">
        <f>Area_RepDuration1</f>
        <v>2018年度</v>
      </c>
      <c r="G77" s="3082">
        <f ca="1">INDIRECT(C77&amp;"!CheckB"&amp;D77)</f>
        <v>-1714.32</v>
      </c>
      <c r="H77" s="1271" t="s">
        <v>428</v>
      </c>
      <c r="I77" s="1269">
        <v>4999</v>
      </c>
      <c r="J77" s="3077" t="str">
        <f t="shared" si="17"/>
        <v>所有者权益</v>
      </c>
      <c r="K77" s="1270">
        <f>Area_RepDate1</f>
        <v>43465</v>
      </c>
      <c r="L77" s="3082">
        <f ca="1">INDIRECT(H77&amp;"!CheckB"&amp;I77)</f>
        <v>-1714.32</v>
      </c>
      <c r="M77" s="70">
        <f t="shared" ca="1" si="18"/>
        <v>0</v>
      </c>
      <c r="N77" s="1293" t="str">
        <f t="shared" ca="1" si="19"/>
        <v>√</v>
      </c>
      <c r="O77" s="641"/>
      <c r="P77" s="641"/>
      <c r="Q77" s="641"/>
      <c r="R77" s="641"/>
    </row>
    <row r="78" spans="1:18" ht="26">
      <c r="A78" s="30"/>
      <c r="B78" s="31" t="s">
        <v>577</v>
      </c>
      <c r="C78" s="35" t="s">
        <v>578</v>
      </c>
      <c r="D78" s="1269">
        <v>7349</v>
      </c>
      <c r="E78" s="3074" t="str">
        <f t="shared" si="16"/>
        <v>期初现金及现金等价物余额</v>
      </c>
      <c r="F78" s="1270" t="str">
        <f>Area_RepDuration</f>
        <v>2019年度</v>
      </c>
      <c r="G78" s="3079">
        <f ca="1">INDIRECT(C78&amp;"!CheckA"&amp;D78)</f>
        <v>17805.68</v>
      </c>
      <c r="H78" s="1271" t="s">
        <v>578</v>
      </c>
      <c r="I78" s="1269">
        <v>7399</v>
      </c>
      <c r="J78" s="3077" t="str">
        <f t="shared" si="17"/>
        <v>期末现金及现金等价物余额</v>
      </c>
      <c r="K78" s="1270" t="str">
        <f>Area_RepDuration1</f>
        <v>2018年度</v>
      </c>
      <c r="L78" s="3082">
        <f ca="1">INDIRECT(H78&amp;"!CheckB"&amp;I78)</f>
        <v>17805.68</v>
      </c>
      <c r="M78" s="70">
        <f t="shared" ca="1" si="18"/>
        <v>0</v>
      </c>
      <c r="N78" s="1293" t="str">
        <f t="shared" ca="1" si="19"/>
        <v>√</v>
      </c>
      <c r="O78" s="641"/>
      <c r="P78" s="641"/>
      <c r="Q78" s="641"/>
      <c r="R78" s="641"/>
    </row>
    <row r="79" spans="1:18" ht="17">
      <c r="A79" s="30"/>
      <c r="B79" s="31" t="s">
        <v>582</v>
      </c>
      <c r="C79" s="35" t="s">
        <v>578</v>
      </c>
      <c r="D79" s="1269">
        <v>7502</v>
      </c>
      <c r="E79" s="3074" t="str">
        <f t="shared" si="16"/>
        <v>净利润金额</v>
      </c>
      <c r="F79" s="1270" t="str">
        <f>Area_RepDuration</f>
        <v>2019年度</v>
      </c>
      <c r="G79" s="3079">
        <f ca="1">INDIRECT(C79&amp;"!CheckA"&amp;D79)</f>
        <v>-2324.91</v>
      </c>
      <c r="H79" s="1271" t="s">
        <v>441</v>
      </c>
      <c r="I79" s="1269">
        <v>6799</v>
      </c>
      <c r="J79" s="3074" t="str">
        <f t="shared" si="17"/>
        <v>净利润</v>
      </c>
      <c r="K79" s="1270" t="str">
        <f>Area_RepDuration</f>
        <v>2019年度</v>
      </c>
      <c r="L79" s="3079">
        <f ca="1">INDIRECT(H79&amp;"!CheckA"&amp;I79)</f>
        <v>-2324.91</v>
      </c>
      <c r="M79" s="70">
        <f t="shared" ca="1" si="18"/>
        <v>0</v>
      </c>
      <c r="N79" s="1293" t="str">
        <f t="shared" ca="1" si="19"/>
        <v>√</v>
      </c>
      <c r="O79" s="641"/>
      <c r="P79" s="641"/>
      <c r="Q79" s="641"/>
      <c r="R79" s="641"/>
    </row>
    <row r="80" spans="1:18" ht="17">
      <c r="A80" s="30"/>
      <c r="B80" s="31" t="s">
        <v>587</v>
      </c>
      <c r="C80" s="35" t="s">
        <v>578</v>
      </c>
      <c r="D80" s="1269">
        <v>7502</v>
      </c>
      <c r="E80" s="3077" t="str">
        <f t="shared" si="16"/>
        <v>净利润金额</v>
      </c>
      <c r="F80" s="1270" t="str">
        <f>Area_RepDuration1</f>
        <v>2018年度</v>
      </c>
      <c r="G80" s="3082">
        <f ca="1">INDIRECT(C80&amp;"!CheckB"&amp;D80)</f>
        <v>-1714.32</v>
      </c>
      <c r="H80" s="1271" t="s">
        <v>441</v>
      </c>
      <c r="I80" s="1269">
        <v>6799</v>
      </c>
      <c r="J80" s="3077" t="str">
        <f t="shared" si="17"/>
        <v>净利润</v>
      </c>
      <c r="K80" s="1270" t="str">
        <f>Area_RepDuration1</f>
        <v>2018年度</v>
      </c>
      <c r="L80" s="3082">
        <f ca="1">INDIRECT(H80&amp;"!CheckB"&amp;I80)</f>
        <v>-1714.32</v>
      </c>
      <c r="M80" s="70">
        <f t="shared" ca="1" si="18"/>
        <v>0</v>
      </c>
      <c r="N80" s="1293" t="str">
        <f t="shared" ca="1" si="19"/>
        <v>√</v>
      </c>
      <c r="O80" s="641"/>
      <c r="P80" s="641"/>
      <c r="Q80" s="641"/>
      <c r="R80" s="641"/>
    </row>
    <row r="81" spans="1:18" ht="26">
      <c r="A81" s="30"/>
      <c r="B81" s="31" t="s">
        <v>593</v>
      </c>
      <c r="C81" s="35" t="s">
        <v>578</v>
      </c>
      <c r="D81" s="1269">
        <v>7525</v>
      </c>
      <c r="E81" s="3074" t="str">
        <f t="shared" si="16"/>
        <v>经营活动产生的现金流量净额</v>
      </c>
      <c r="F81" s="1270" t="str">
        <f>Area_RepDuration</f>
        <v>2019年度</v>
      </c>
      <c r="G81" s="3079">
        <f ca="1">INDIRECT(C81&amp;"!CheckA"&amp;D81)</f>
        <v>-2324.91</v>
      </c>
      <c r="H81" s="1271" t="s">
        <v>578</v>
      </c>
      <c r="I81" s="1269">
        <v>7099</v>
      </c>
      <c r="J81" s="3074" t="str">
        <f t="shared" si="17"/>
        <v>经营活动产生的现金流量净额</v>
      </c>
      <c r="K81" s="1270" t="str">
        <f>Area_RepDuration</f>
        <v>2019年度</v>
      </c>
      <c r="L81" s="3079">
        <f ca="1">INDIRECT(H81&amp;"!CheckA"&amp;I81)</f>
        <v>-2324.91</v>
      </c>
      <c r="M81" s="70">
        <f t="shared" ca="1" si="18"/>
        <v>0</v>
      </c>
      <c r="N81" s="1293" t="str">
        <f t="shared" ca="1" si="19"/>
        <v>√</v>
      </c>
      <c r="O81" s="641"/>
      <c r="P81" s="641"/>
      <c r="Q81" s="641"/>
      <c r="R81" s="641"/>
    </row>
    <row r="82" spans="1:18" ht="26">
      <c r="A82" s="30"/>
      <c r="B82" s="31" t="s">
        <v>598</v>
      </c>
      <c r="C82" s="35" t="s">
        <v>578</v>
      </c>
      <c r="D82" s="1269">
        <v>7525</v>
      </c>
      <c r="E82" s="3077" t="str">
        <f t="shared" si="16"/>
        <v>经营活动产生的现金流量净额</v>
      </c>
      <c r="F82" s="1270" t="str">
        <f>Area_RepDuration1</f>
        <v>2018年度</v>
      </c>
      <c r="G82" s="3082">
        <f ca="1">INDIRECT(C82&amp;"!CheckB"&amp;D82)</f>
        <v>17805.68</v>
      </c>
      <c r="H82" s="1271" t="s">
        <v>578</v>
      </c>
      <c r="I82" s="1269">
        <v>7099</v>
      </c>
      <c r="J82" s="3077" t="str">
        <f t="shared" si="17"/>
        <v>经营活动产生的现金流量净额</v>
      </c>
      <c r="K82" s="1270" t="str">
        <f>Area_RepDuration1</f>
        <v>2018年度</v>
      </c>
      <c r="L82" s="3082">
        <f ca="1">INDIRECT(H82&amp;"!CheckB"&amp;I82)</f>
        <v>17805.68</v>
      </c>
      <c r="M82" s="70">
        <f t="shared" ca="1" si="18"/>
        <v>0</v>
      </c>
      <c r="N82" s="1293" t="str">
        <f t="shared" ca="1" si="19"/>
        <v>√</v>
      </c>
      <c r="O82" s="641"/>
      <c r="P82" s="641"/>
      <c r="Q82" s="641"/>
      <c r="R82" s="641"/>
    </row>
    <row r="83" spans="1:18" ht="26">
      <c r="A83" s="30"/>
      <c r="B83" s="31" t="s">
        <v>603</v>
      </c>
      <c r="C83" s="35" t="s">
        <v>578</v>
      </c>
      <c r="D83" s="1269">
        <v>7539</v>
      </c>
      <c r="E83" s="3074" t="str">
        <f t="shared" si="16"/>
        <v>现金及现金等价物净增加额</v>
      </c>
      <c r="F83" s="1270" t="str">
        <f>Area_RepDuration</f>
        <v>2019年度</v>
      </c>
      <c r="G83" s="3079">
        <f ca="1">INDIRECT(C83&amp;"!CheckA"&amp;D83)</f>
        <v>-2324.91</v>
      </c>
      <c r="H83" s="1271" t="s">
        <v>578</v>
      </c>
      <c r="I83" s="1269">
        <v>7348</v>
      </c>
      <c r="J83" s="3074" t="str">
        <f t="shared" si="17"/>
        <v>现金及现金等价物净增加额</v>
      </c>
      <c r="K83" s="1270" t="str">
        <f>Area_RepDuration</f>
        <v>2019年度</v>
      </c>
      <c r="L83" s="3079">
        <f ca="1">INDIRECT(H83&amp;"!CheckA"&amp;I83)</f>
        <v>-2324.91</v>
      </c>
      <c r="M83" s="70">
        <f t="shared" ca="1" si="18"/>
        <v>0</v>
      </c>
      <c r="N83" s="1293" t="str">
        <f t="shared" ca="1" si="19"/>
        <v>√</v>
      </c>
      <c r="O83" s="641"/>
      <c r="P83" s="641"/>
      <c r="Q83" s="641"/>
      <c r="R83" s="641"/>
    </row>
    <row r="84" spans="1:18" ht="26">
      <c r="A84" s="30"/>
      <c r="B84" s="36" t="s">
        <v>608</v>
      </c>
      <c r="C84" s="37" t="s">
        <v>578</v>
      </c>
      <c r="D84" s="1272">
        <v>7539</v>
      </c>
      <c r="E84" s="3078" t="str">
        <f t="shared" si="16"/>
        <v>现金及现金等价物净增加额</v>
      </c>
      <c r="F84" s="1273" t="str">
        <f>Area_RepDuration1</f>
        <v>2018年度</v>
      </c>
      <c r="G84" s="3083">
        <f ca="1">INDIRECT(C84&amp;"!CheckB"&amp;D84)</f>
        <v>17805.68</v>
      </c>
      <c r="H84" s="1274" t="s">
        <v>578</v>
      </c>
      <c r="I84" s="1272">
        <v>7348</v>
      </c>
      <c r="J84" s="3078" t="str">
        <f t="shared" si="17"/>
        <v>现金及现金等价物净增加额</v>
      </c>
      <c r="K84" s="1273" t="str">
        <f>Area_RepDuration1</f>
        <v>2018年度</v>
      </c>
      <c r="L84" s="3083">
        <f ca="1">INDIRECT(H84&amp;"!CheckB"&amp;I84)</f>
        <v>17805.68</v>
      </c>
      <c r="M84" s="70">
        <f t="shared" ca="1" si="18"/>
        <v>0</v>
      </c>
      <c r="N84" s="1293" t="str">
        <f t="shared" ca="1" si="19"/>
        <v>√</v>
      </c>
      <c r="O84" s="641"/>
      <c r="P84" s="641"/>
      <c r="Q84" s="641"/>
      <c r="R84" s="641"/>
    </row>
    <row r="85" spans="1:18" ht="17">
      <c r="A85" s="30"/>
      <c r="B85" s="1275"/>
      <c r="C85" s="1275"/>
      <c r="D85" s="1276"/>
      <c r="E85" s="1275"/>
      <c r="F85" s="1275"/>
      <c r="G85" s="1275"/>
      <c r="H85" s="1275"/>
      <c r="I85" s="1276"/>
      <c r="J85" s="1275"/>
      <c r="K85" s="1275"/>
      <c r="L85" s="1275"/>
      <c r="M85" s="1275"/>
      <c r="N85" s="1275"/>
      <c r="O85" s="641"/>
      <c r="P85" s="641"/>
      <c r="Q85" s="641"/>
      <c r="R85" s="641"/>
    </row>
    <row r="86" spans="1:18" ht="17">
      <c r="A86" s="181"/>
      <c r="B86" s="641"/>
      <c r="C86" s="641"/>
      <c r="D86" s="720"/>
      <c r="E86" s="641"/>
      <c r="F86" s="641"/>
      <c r="G86" s="641"/>
      <c r="H86" s="641"/>
      <c r="I86" s="720"/>
      <c r="J86" s="641"/>
      <c r="K86" s="641"/>
      <c r="L86" s="641"/>
      <c r="M86" s="641"/>
      <c r="N86" s="641"/>
      <c r="O86" s="641"/>
      <c r="P86" s="641"/>
      <c r="Q86" s="641"/>
      <c r="R86" s="641"/>
    </row>
    <row r="87" spans="1:18" ht="17">
      <c r="A87" s="181"/>
      <c r="B87" s="1277" t="s">
        <v>2538</v>
      </c>
      <c r="C87" s="641"/>
      <c r="D87" s="720"/>
      <c r="E87" s="641"/>
      <c r="F87" s="641"/>
      <c r="G87" s="641"/>
      <c r="H87" s="641"/>
      <c r="I87" s="720"/>
      <c r="J87" s="641"/>
      <c r="K87" s="641"/>
      <c r="L87" s="641"/>
      <c r="M87" s="641"/>
      <c r="N87" s="641"/>
      <c r="O87" s="641"/>
      <c r="P87" s="641"/>
      <c r="Q87" s="641"/>
      <c r="R87" s="641"/>
    </row>
    <row r="88" spans="1:18" ht="17">
      <c r="A88" s="181"/>
      <c r="B88" s="641"/>
      <c r="C88" s="641"/>
      <c r="D88" s="720"/>
      <c r="E88" s="641"/>
      <c r="F88" s="641"/>
      <c r="G88" s="641"/>
      <c r="H88" s="641"/>
      <c r="I88" s="720"/>
      <c r="J88" s="641"/>
      <c r="K88" s="641"/>
      <c r="L88" s="641"/>
      <c r="M88" s="641"/>
      <c r="N88" s="641"/>
      <c r="O88" s="641"/>
      <c r="P88" s="641"/>
      <c r="Q88" s="641"/>
      <c r="R88" s="641"/>
    </row>
    <row r="89" spans="1:18" ht="17">
      <c r="A89" s="181"/>
      <c r="B89" s="641"/>
      <c r="C89" s="641"/>
      <c r="D89" s="720"/>
      <c r="E89" s="641"/>
      <c r="F89" s="641"/>
      <c r="G89" s="641"/>
      <c r="H89" s="641"/>
      <c r="I89" s="720"/>
      <c r="J89" s="641"/>
      <c r="K89" s="641"/>
      <c r="L89" s="641"/>
      <c r="M89" s="641"/>
      <c r="N89" s="641"/>
      <c r="O89" s="641"/>
      <c r="P89" s="641"/>
      <c r="Q89" s="641"/>
      <c r="R89" s="641"/>
    </row>
    <row r="90" spans="1:18" ht="17">
      <c r="A90" s="30"/>
    </row>
    <row r="91" spans="1:18" ht="17">
      <c r="A91" s="30"/>
    </row>
    <row r="92" spans="1:18" ht="17">
      <c r="A92" s="30"/>
    </row>
    <row r="93" spans="1:18" ht="17">
      <c r="A93" s="30"/>
    </row>
  </sheetData>
  <sheetProtection algorithmName="SHA-512" hashValue="qt5IwmjjXLs2Nb+DTq9PQA6VhljhvV8Z72WtkHIKsz7PlOlV+kYd5P4UhXh+b9wX8J55md5AgzU1ZTGMi4OzPw==" saltValue="T1LzlXbZBqAthT+86NJzUg==" spinCount="100000" sheet="1" scenarios="1" formatCells="0" autoFilter="0"/>
  <phoneticPr fontId="163" type="noConversion"/>
  <conditionalFormatting sqref="M9:M84">
    <cfRule type="expression" dxfId="4092"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workbookViewId="0">
      <selection activeCell="G10" sqref="G10"/>
    </sheetView>
  </sheetViews>
  <sheetFormatPr defaultColWidth="9.09765625" defaultRowHeight="13"/>
  <cols>
    <col min="1" max="3" width="9.765625E-2" style="2754" customWidth="1"/>
    <col min="4" max="4" width="26.69921875" style="1" customWidth="1"/>
    <col min="5" max="5" width="5.09765625" style="1" customWidth="1"/>
    <col min="6" max="7" width="14.69921875" style="1" customWidth="1"/>
    <col min="8" max="8" width="9.765625E-2" style="2754" customWidth="1"/>
    <col min="9" max="9" width="26.69921875" style="1" customWidth="1"/>
    <col min="10" max="10" width="4.69921875" style="1" customWidth="1"/>
    <col min="11" max="12" width="14.69921875" style="1" customWidth="1"/>
    <col min="13" max="13" width="12.69921875" style="1" customWidth="1"/>
    <col min="14" max="16384" width="9.09765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5">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编制单位：余江县天骏投资管理有限公司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7">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7">
      <c r="A10" s="2752">
        <f t="shared" si="0"/>
        <v>0</v>
      </c>
      <c r="B10" s="2752">
        <f t="shared" si="1"/>
        <v>0</v>
      </c>
      <c r="C10" s="2809">
        <v>1015</v>
      </c>
      <c r="D10" s="975" t="str">
        <f t="shared" si="2"/>
        <v>货币资金</v>
      </c>
      <c r="E10" s="1197"/>
      <c r="F10" s="1198">
        <v>15480.77</v>
      </c>
      <c r="G10" s="1199">
        <f t="shared" si="3"/>
        <v>17805.68</v>
      </c>
      <c r="H10" s="2817">
        <v>2001</v>
      </c>
      <c r="I10" s="1206" t="str">
        <f t="shared" si="4"/>
        <v>短期借款</v>
      </c>
      <c r="J10" s="1197"/>
      <c r="K10" s="1198"/>
      <c r="L10" s="1207">
        <f t="shared" si="5"/>
        <v>0</v>
      </c>
      <c r="M10" s="641"/>
      <c r="N10" s="641"/>
      <c r="O10" s="641"/>
      <c r="P10" s="641"/>
    </row>
    <row r="11" spans="1:16" ht="17">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7">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7">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6">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7">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7">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7">
      <c r="A17" s="2752">
        <f t="shared" si="0"/>
        <v>0</v>
      </c>
      <c r="B17" s="2752">
        <f t="shared" si="1"/>
        <v>0</v>
      </c>
      <c r="C17" s="2809">
        <v>1122</v>
      </c>
      <c r="D17" s="975" t="str">
        <f t="shared" si="2"/>
        <v>应收账款</v>
      </c>
      <c r="E17" s="1197"/>
      <c r="F17" s="1198"/>
      <c r="G17" s="1199">
        <f t="shared" si="3"/>
        <v>0</v>
      </c>
      <c r="H17" s="2817">
        <v>2202</v>
      </c>
      <c r="I17" s="1206" t="str">
        <f t="shared" si="4"/>
        <v>应付账款</v>
      </c>
      <c r="J17" s="1197"/>
      <c r="K17" s="1198"/>
      <c r="L17" s="1207">
        <f t="shared" si="5"/>
        <v>0</v>
      </c>
      <c r="M17" s="641"/>
      <c r="N17" s="641"/>
      <c r="O17" s="641"/>
      <c r="P17" s="641"/>
    </row>
    <row r="18" spans="1:16" ht="17">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0</v>
      </c>
      <c r="M18" s="641"/>
      <c r="N18" s="641"/>
      <c r="O18" s="641"/>
      <c r="P18" s="641"/>
    </row>
    <row r="19" spans="1:16" ht="17">
      <c r="A19" s="2752">
        <f t="shared" si="0"/>
        <v>0</v>
      </c>
      <c r="B19" s="2752" t="str">
        <f t="shared" si="1"/>
        <v>_SR</v>
      </c>
      <c r="C19" s="2809">
        <v>1125</v>
      </c>
      <c r="D19" s="975" t="str">
        <f>VLOOKUP($C19,Sheet_Items,6,0)</f>
        <v>预付款项</v>
      </c>
      <c r="E19" s="1197"/>
      <c r="F19" s="1198"/>
      <c r="G19" s="1199">
        <f t="shared" si="3"/>
        <v>0</v>
      </c>
      <c r="H19" s="2817">
        <v>2206</v>
      </c>
      <c r="I19" s="1206" t="str">
        <f t="shared" si="4"/>
        <v>合同负债</v>
      </c>
      <c r="J19" s="1197"/>
      <c r="K19" s="1198"/>
      <c r="L19" s="1207">
        <f t="shared" si="5"/>
        <v>0</v>
      </c>
      <c r="M19" s="641"/>
      <c r="N19" s="641"/>
      <c r="O19" s="641"/>
      <c r="P19" s="641"/>
    </row>
    <row r="20" spans="1:16" ht="17">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7">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7">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7">
      <c r="A23" s="2752">
        <f t="shared" si="0"/>
        <v>0</v>
      </c>
      <c r="B23" s="2752" t="str">
        <f t="shared" si="1"/>
        <v>△</v>
      </c>
      <c r="C23" s="2809">
        <v>1220</v>
      </c>
      <c r="D23" s="975" t="str">
        <f>VLOOKUP($C23,Sheet_Items,2,0)</f>
        <v>其他应收款（报表项目）</v>
      </c>
      <c r="E23" s="1200"/>
      <c r="F23" s="1201">
        <f>SUM(F24:F26)</f>
        <v>0</v>
      </c>
      <c r="G23" s="1202">
        <f>SUM(G24:G26)</f>
        <v>0</v>
      </c>
      <c r="H23" s="2817">
        <v>2312</v>
      </c>
      <c r="I23" s="1206" t="str">
        <f t="shared" si="4"/>
        <v>代理承销证券款</v>
      </c>
      <c r="J23" s="1197"/>
      <c r="K23" s="1198"/>
      <c r="L23" s="1207">
        <f t="shared" si="5"/>
        <v>0</v>
      </c>
      <c r="M23" s="641"/>
      <c r="N23" s="641"/>
      <c r="O23" s="641"/>
      <c r="P23" s="641"/>
    </row>
    <row r="24" spans="1:16" ht="17">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c r="K24" s="1198"/>
      <c r="L24" s="1207">
        <f t="shared" si="5"/>
        <v>0</v>
      </c>
      <c r="M24" s="641"/>
      <c r="N24" s="641"/>
      <c r="O24" s="641"/>
      <c r="P24" s="641"/>
    </row>
    <row r="25" spans="1:16" ht="17">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c r="L25" s="1207">
        <f t="shared" si="5"/>
        <v>0</v>
      </c>
      <c r="M25" s="641"/>
      <c r="N25" s="641"/>
      <c r="O25" s="641"/>
      <c r="P25" s="641"/>
    </row>
    <row r="26" spans="1:16" ht="17">
      <c r="A26" s="2752">
        <f t="shared" si="0"/>
        <v>0</v>
      </c>
      <c r="B26" s="2752">
        <f t="shared" si="1"/>
        <v>0</v>
      </c>
      <c r="C26" s="2809">
        <v>1221</v>
      </c>
      <c r="D26" s="1140" t="str">
        <f t="shared" si="2"/>
        <v>其他应收款</v>
      </c>
      <c r="E26" s="1197"/>
      <c r="F26" s="1198"/>
      <c r="G26" s="1199">
        <f t="shared" si="6"/>
        <v>0</v>
      </c>
      <c r="H26" s="2817">
        <v>2246</v>
      </c>
      <c r="I26" s="1206" t="str">
        <f>VLOOKUP($H26,Sheet_Items,2,0)</f>
        <v>其他应付款（报表项目）</v>
      </c>
      <c r="J26" s="1200"/>
      <c r="K26" s="1201">
        <f>SUM(K27:K29)</f>
        <v>20000</v>
      </c>
      <c r="L26" s="1208">
        <f>SUM(L27,L28,L29)</f>
        <v>20000</v>
      </c>
      <c r="M26" s="641"/>
      <c r="N26" s="641"/>
      <c r="O26" s="641"/>
      <c r="P26" s="641"/>
    </row>
    <row r="27" spans="1:16" ht="17">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7">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7">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v>20000</v>
      </c>
      <c r="L29" s="1207">
        <f t="shared" si="7"/>
        <v>20000</v>
      </c>
      <c r="M29" s="641"/>
      <c r="N29" s="641"/>
      <c r="O29" s="641"/>
      <c r="P29" s="641"/>
    </row>
    <row r="30" spans="1:16" ht="17">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7">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7">
      <c r="A32" s="2752">
        <f t="shared" si="0"/>
        <v>0</v>
      </c>
      <c r="B32" s="2752" t="str">
        <f t="shared" si="1"/>
        <v>Ｘ</v>
      </c>
      <c r="C32" s="2809">
        <v>1496</v>
      </c>
      <c r="D32" s="975" t="str">
        <f t="shared" si="2"/>
        <v>其他流动资产</v>
      </c>
      <c r="E32" s="1197"/>
      <c r="F32" s="1198">
        <v>480</v>
      </c>
      <c r="G32" s="1199">
        <f t="shared" si="6"/>
        <v>480</v>
      </c>
      <c r="H32" s="2817">
        <v>2315</v>
      </c>
      <c r="I32" s="1206" t="str">
        <f t="shared" si="4"/>
        <v>持有待售负债</v>
      </c>
      <c r="J32" s="1197"/>
      <c r="K32" s="1198"/>
      <c r="L32" s="1207">
        <f t="shared" si="7"/>
        <v>0</v>
      </c>
      <c r="M32" s="641"/>
      <c r="N32" s="641"/>
      <c r="O32" s="641"/>
      <c r="P32" s="641"/>
    </row>
    <row r="33" spans="1:16" ht="17">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7">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7">
      <c r="A35" s="2752" t="str">
        <f t="shared" si="0"/>
        <v>＝</v>
      </c>
      <c r="B35" s="2752" t="str">
        <f t="shared" si="1"/>
        <v>＝</v>
      </c>
      <c r="C35" s="2809">
        <v>1498</v>
      </c>
      <c r="D35" s="1195" t="str">
        <f t="shared" si="2"/>
        <v>流动资产合计</v>
      </c>
      <c r="E35" s="1200"/>
      <c r="F35" s="1203">
        <f>SUM(F10:F34)-SUM(F23)</f>
        <v>15960.77</v>
      </c>
      <c r="G35" s="1204">
        <f>SUM(G10:G34)-SUM(G23)</f>
        <v>18285.68</v>
      </c>
      <c r="H35" s="2818">
        <v>2498</v>
      </c>
      <c r="I35" s="1205" t="str">
        <f t="shared" si="4"/>
        <v>流动负债合计</v>
      </c>
      <c r="J35" s="1200"/>
      <c r="K35" s="1203">
        <f>SUM(K10:K34)-SUM(K26)</f>
        <v>20000</v>
      </c>
      <c r="L35" s="1209">
        <f>SUM(L10:L34)-SUM(L26)</f>
        <v>20000</v>
      </c>
      <c r="M35" s="641"/>
      <c r="N35" s="641"/>
      <c r="O35" s="641"/>
      <c r="P35" s="641"/>
    </row>
    <row r="36" spans="1:16" ht="17">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7">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7">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7">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7">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7">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7">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7">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0</v>
      </c>
      <c r="L43" s="1208">
        <f>SUM(L44:L45)</f>
        <v>0</v>
      </c>
      <c r="M43" s="641"/>
      <c r="N43" s="641"/>
      <c r="O43" s="641"/>
      <c r="P43" s="641"/>
    </row>
    <row r="44" spans="1:16" ht="17">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7">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7">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7">
      <c r="A47" s="2752">
        <f t="shared" si="0"/>
        <v>0</v>
      </c>
      <c r="B47" s="2752">
        <f t="shared" si="1"/>
        <v>0</v>
      </c>
      <c r="C47" s="2809">
        <v>1611</v>
      </c>
      <c r="D47" s="975" t="str">
        <f>VLOOKUP($C47,Sheet_Items,2,0)</f>
        <v>固定资产（报表项目）</v>
      </c>
      <c r="E47" s="1200"/>
      <c r="F47" s="1201">
        <f>SUM(F48:F49)</f>
        <v>0</v>
      </c>
      <c r="G47" s="1202">
        <f>SUM(G48:G49)</f>
        <v>0</v>
      </c>
      <c r="H47" s="2817">
        <v>2801</v>
      </c>
      <c r="I47" s="1206" t="str">
        <f t="shared" si="4"/>
        <v>预计负债</v>
      </c>
      <c r="J47" s="1197"/>
      <c r="K47" s="1198"/>
      <c r="L47" s="1207">
        <f t="shared" si="10"/>
        <v>0</v>
      </c>
      <c r="M47" s="641"/>
      <c r="N47" s="641"/>
      <c r="O47" s="641"/>
      <c r="P47" s="641"/>
    </row>
    <row r="48" spans="1:16" ht="17">
      <c r="A48" s="2752">
        <f t="shared" si="0"/>
        <v>0</v>
      </c>
      <c r="B48" s="2752">
        <f t="shared" si="1"/>
        <v>0</v>
      </c>
      <c r="C48" s="2809">
        <v>1601</v>
      </c>
      <c r="D48" s="975" t="str">
        <f>IF($C48="","",VLOOKUP($C48,Sheet_Items,6,0))</f>
        <v>其中：固定资产</v>
      </c>
      <c r="E48" s="1197"/>
      <c r="F48" s="1198"/>
      <c r="G48" s="1199">
        <f>IF($C48="","",IF(ISERROR(VLOOKUP($C48,Sheet_Balance1,2,0)),0,VLOOKUP($C48,Sheet_Balance1,2,0)))</f>
        <v>0</v>
      </c>
      <c r="H48" s="2817">
        <v>2401</v>
      </c>
      <c r="I48" s="1206" t="str">
        <f t="shared" si="4"/>
        <v>递延收益</v>
      </c>
      <c r="J48" s="1197"/>
      <c r="K48" s="1198"/>
      <c r="L48" s="1207">
        <f t="shared" si="10"/>
        <v>0</v>
      </c>
      <c r="M48" s="641"/>
      <c r="N48" s="641"/>
      <c r="O48" s="641"/>
      <c r="P48" s="641"/>
    </row>
    <row r="49" spans="1:16" ht="17">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7">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7">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7">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20000</v>
      </c>
      <c r="L52" s="1209">
        <f>SUM(L35,L51)</f>
        <v>20000</v>
      </c>
      <c r="M52" s="641"/>
      <c r="N52" s="641"/>
      <c r="O52" s="641"/>
      <c r="P52" s="641"/>
    </row>
    <row r="53" spans="1:16" ht="17">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7">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c r="L54" s="1207">
        <f t="shared" si="13"/>
        <v>0</v>
      </c>
      <c r="M54" s="641"/>
      <c r="N54" s="641"/>
      <c r="O54" s="641"/>
      <c r="P54" s="641"/>
    </row>
    <row r="55" spans="1:16" ht="17">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7">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7">
      <c r="A57" s="2752">
        <f t="shared" si="0"/>
        <v>0</v>
      </c>
      <c r="B57" s="2752" t="str">
        <f t="shared" si="1"/>
        <v>OEI</v>
      </c>
      <c r="C57" s="2809">
        <v>1700</v>
      </c>
      <c r="D57" s="975" t="str">
        <f t="shared" si="14"/>
        <v>开发支出</v>
      </c>
      <c r="E57" s="1197"/>
      <c r="F57" s="1198"/>
      <c r="G57" s="1199">
        <f t="shared" si="11"/>
        <v>0</v>
      </c>
      <c r="H57" s="2819">
        <v>4015.31</v>
      </c>
      <c r="I57" s="1653" t="str">
        <f>VLOOKUP($H57,Sheet_Items,6,0)</f>
        <v>永续债</v>
      </c>
      <c r="J57" s="1197"/>
      <c r="K57" s="1198"/>
      <c r="L57" s="1207">
        <f t="shared" si="13"/>
        <v>0</v>
      </c>
      <c r="M57" s="641"/>
      <c r="N57" s="641"/>
      <c r="O57" s="641"/>
      <c r="P57" s="641"/>
    </row>
    <row r="58" spans="1:16" ht="17">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7">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7">
      <c r="A60" s="2752">
        <f t="shared" si="0"/>
        <v>0</v>
      </c>
      <c r="B60" s="2752">
        <f t="shared" si="1"/>
        <v>0</v>
      </c>
      <c r="C60" s="2809">
        <v>1811</v>
      </c>
      <c r="D60" s="975" t="str">
        <f t="shared" si="14"/>
        <v>递延所得税资产</v>
      </c>
      <c r="E60" s="1197"/>
      <c r="F60" s="1198"/>
      <c r="G60" s="1199">
        <f t="shared" si="11"/>
        <v>0</v>
      </c>
      <c r="H60" s="2817">
        <v>4215</v>
      </c>
      <c r="I60" s="1206" t="str">
        <f t="shared" si="12"/>
        <v>其他综合收益</v>
      </c>
      <c r="J60" s="1197"/>
      <c r="K60" s="1198"/>
      <c r="L60" s="1207">
        <f t="shared" si="13"/>
        <v>0</v>
      </c>
      <c r="M60" s="641"/>
      <c r="N60" s="641"/>
      <c r="O60" s="641"/>
      <c r="P60" s="641"/>
    </row>
    <row r="61" spans="1:16" ht="17">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7">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c r="L62" s="1207">
        <f t="shared" si="13"/>
        <v>0</v>
      </c>
      <c r="M62" s="641"/>
      <c r="N62" s="641"/>
      <c r="O62" s="641"/>
      <c r="P62" s="641"/>
    </row>
    <row r="63" spans="1:16" ht="17">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7">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v>-4039.23</v>
      </c>
      <c r="L64" s="1207">
        <f t="shared" si="13"/>
        <v>-1714.32</v>
      </c>
      <c r="M64" s="641"/>
      <c r="N64" s="641"/>
      <c r="O64" s="641"/>
      <c r="P64" s="641"/>
    </row>
    <row r="65" spans="1:16" ht="26">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-4039.23</v>
      </c>
      <c r="L65" s="1232">
        <f>SUM(L54:L55,L58,-L59,L60:L64)</f>
        <v>-1714.32</v>
      </c>
      <c r="M65" s="641"/>
      <c r="N65" s="641"/>
      <c r="O65" s="641"/>
      <c r="P65" s="641"/>
    </row>
    <row r="66" spans="1:16" ht="17">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7">
      <c r="A67" s="2752" t="str">
        <f t="shared" si="0"/>
        <v>＝</v>
      </c>
      <c r="B67" s="2752" t="str">
        <f t="shared" si="1"/>
        <v>＝</v>
      </c>
      <c r="C67" s="2809">
        <v>1998</v>
      </c>
      <c r="D67" s="1195" t="str">
        <f t="shared" si="14"/>
        <v>非流动资产合计</v>
      </c>
      <c r="E67" s="1200"/>
      <c r="F67" s="1203">
        <f>SUM(F37:F66)-SUM(F47,F50)</f>
        <v>0</v>
      </c>
      <c r="G67" s="1204">
        <f>SUM(G37:G66)-SUM(G47,G50)</f>
        <v>0</v>
      </c>
      <c r="H67" s="2820">
        <v>4999</v>
      </c>
      <c r="I67" s="1233" t="str">
        <f t="shared" si="12"/>
        <v>所有者权益（或股东权益）合计</v>
      </c>
      <c r="J67" s="1200"/>
      <c r="K67" s="1203">
        <f>SUM(K65,K66)</f>
        <v>-4039.23</v>
      </c>
      <c r="L67" s="1209">
        <f>SUM(L65,L66)</f>
        <v>-1714.32</v>
      </c>
      <c r="M67" s="641"/>
      <c r="N67" s="641"/>
      <c r="O67" s="641"/>
      <c r="P67" s="641"/>
    </row>
    <row r="68" spans="1:16" ht="26">
      <c r="A68" s="2752" t="str">
        <f t="shared" si="0"/>
        <v>＝</v>
      </c>
      <c r="B68" s="2752" t="str">
        <f t="shared" si="1"/>
        <v>＝</v>
      </c>
      <c r="C68" s="2809">
        <v>1999</v>
      </c>
      <c r="D68" s="1210" t="str">
        <f t="shared" si="14"/>
        <v>资产总计</v>
      </c>
      <c r="E68" s="1211"/>
      <c r="F68" s="1212">
        <f>SUM(F35,F67)</f>
        <v>15960.77</v>
      </c>
      <c r="G68" s="1213">
        <f>SUM(G35,G67)</f>
        <v>18285.68</v>
      </c>
      <c r="H68" s="2821">
        <v>5000</v>
      </c>
      <c r="I68" s="1234" t="str">
        <f t="shared" si="12"/>
        <v>负债和所有者权益（或股东权益）总计</v>
      </c>
      <c r="J68" s="1211"/>
      <c r="K68" s="1212">
        <f>SUM(K52,K67)</f>
        <v>15960.77</v>
      </c>
      <c r="L68" s="1235">
        <f>SUM(L52,L67)</f>
        <v>18285.68</v>
      </c>
      <c r="M68" s="641"/>
      <c r="N68" s="641"/>
      <c r="O68" s="641"/>
      <c r="P68" s="641"/>
    </row>
    <row r="69" spans="1:16" ht="17">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7">
      <c r="A70" s="2749"/>
      <c r="B70" s="2749"/>
      <c r="C70" s="2810"/>
      <c r="D70" s="641"/>
      <c r="E70" s="641"/>
      <c r="F70" s="641"/>
      <c r="G70" s="641"/>
      <c r="H70" s="2765"/>
      <c r="I70" s="641"/>
      <c r="J70" s="641"/>
      <c r="K70" s="641"/>
      <c r="L70" s="641"/>
      <c r="M70" s="641"/>
      <c r="N70" s="641"/>
      <c r="O70" s="641"/>
      <c r="P70" s="641"/>
    </row>
    <row r="71" spans="1:16" ht="17">
      <c r="A71" s="2752"/>
      <c r="B71" s="2749"/>
      <c r="C71" s="2809" t="s">
        <v>2563</v>
      </c>
      <c r="D71" s="2511" t="s">
        <v>2564</v>
      </c>
      <c r="E71" s="2512"/>
      <c r="F71" s="2513" t="s">
        <v>2560</v>
      </c>
      <c r="G71" s="2514" t="s">
        <v>2561</v>
      </c>
      <c r="H71" s="2765"/>
      <c r="I71" s="641"/>
      <c r="J71" s="641"/>
      <c r="K71" s="641"/>
      <c r="L71" s="641"/>
    </row>
    <row r="72" spans="1:16" ht="17">
      <c r="A72" s="2752"/>
      <c r="B72" s="2749"/>
      <c r="C72" s="2809">
        <v>1122.1231</v>
      </c>
      <c r="D72" s="1214" t="str">
        <f t="shared" ref="D72:D88" si="15">IF($C72="","",VLOOKUP($C72,Sheet_Items,6,0))</f>
        <v>应收账款坏账准备</v>
      </c>
      <c r="E72" s="1098"/>
      <c r="F72" s="1099"/>
      <c r="G72" s="1100"/>
      <c r="H72" s="2765"/>
      <c r="I72" s="641"/>
      <c r="J72" s="641"/>
      <c r="K72" s="641"/>
      <c r="L72" s="641"/>
    </row>
    <row r="73" spans="1:16" ht="17">
      <c r="A73" s="2752"/>
      <c r="B73" s="2749"/>
      <c r="C73" s="2809">
        <v>1125.1231</v>
      </c>
      <c r="D73" s="1214" t="str">
        <f t="shared" si="15"/>
        <v>预付款项坏账准备</v>
      </c>
      <c r="E73" s="1098"/>
      <c r="F73" s="1099"/>
      <c r="G73" s="1100"/>
      <c r="H73" s="2765"/>
      <c r="I73" s="641"/>
      <c r="J73" s="641"/>
      <c r="K73" s="641"/>
      <c r="L73" s="641"/>
    </row>
    <row r="74" spans="1:16" ht="17">
      <c r="A74" s="2752"/>
      <c r="B74" s="2749"/>
      <c r="C74" s="2809">
        <v>1221.1231</v>
      </c>
      <c r="D74" s="1214" t="str">
        <f t="shared" si="15"/>
        <v>其他应收款坏账准备</v>
      </c>
      <c r="E74" s="1098"/>
      <c r="F74" s="1099"/>
      <c r="G74" s="1100"/>
      <c r="H74" s="2765"/>
      <c r="I74" s="641"/>
      <c r="J74" s="641"/>
      <c r="K74" s="641"/>
      <c r="L74" s="641"/>
    </row>
    <row r="75" spans="1:16" ht="17">
      <c r="A75" s="2752"/>
      <c r="B75" s="2749"/>
      <c r="C75" s="2809">
        <v>1400.1470999999999</v>
      </c>
      <c r="D75" s="1214" t="str">
        <f t="shared" si="15"/>
        <v>存货跌价准备</v>
      </c>
      <c r="E75" s="1098"/>
      <c r="F75" s="1099"/>
      <c r="G75" s="1100"/>
      <c r="H75" s="2765"/>
      <c r="I75" s="641"/>
      <c r="J75" s="641"/>
      <c r="K75" s="641"/>
      <c r="L75" s="641"/>
    </row>
    <row r="76" spans="1:16" ht="17">
      <c r="A76" s="2752"/>
      <c r="B76" s="2749"/>
      <c r="C76" s="2809">
        <v>1503.1504</v>
      </c>
      <c r="D76" s="1214" t="str">
        <f t="shared" si="15"/>
        <v>可供出售金融资产减值准备</v>
      </c>
      <c r="E76" s="1098"/>
      <c r="F76" s="1099"/>
      <c r="G76" s="1100"/>
      <c r="H76" s="2765"/>
      <c r="I76" s="641"/>
      <c r="J76" s="641"/>
      <c r="K76" s="641"/>
      <c r="L76" s="641"/>
    </row>
    <row r="77" spans="1:16" ht="17">
      <c r="A77" s="2752"/>
      <c r="B77" s="2749"/>
      <c r="C77" s="2809">
        <v>1501.1502</v>
      </c>
      <c r="D77" s="1214" t="str">
        <f t="shared" si="15"/>
        <v>持有至到期投资减值准备</v>
      </c>
      <c r="E77" s="1098"/>
      <c r="F77" s="1099"/>
      <c r="G77" s="1100"/>
      <c r="H77" s="2765"/>
      <c r="I77" s="641"/>
      <c r="J77" s="641"/>
      <c r="K77" s="641"/>
      <c r="L77" s="641"/>
    </row>
    <row r="78" spans="1:16" ht="17">
      <c r="A78" s="2752"/>
      <c r="B78" s="2749"/>
      <c r="C78" s="2809">
        <v>1511.1512</v>
      </c>
      <c r="D78" s="1214" t="str">
        <f t="shared" si="15"/>
        <v>长期股权投资减值准备</v>
      </c>
      <c r="E78" s="1098"/>
      <c r="F78" s="1099"/>
      <c r="G78" s="1100"/>
      <c r="H78" s="2765"/>
      <c r="I78" s="641"/>
      <c r="J78" s="641"/>
      <c r="K78" s="641"/>
      <c r="L78" s="641"/>
    </row>
    <row r="79" spans="1:16" ht="17">
      <c r="A79" s="2752"/>
      <c r="B79" s="2749"/>
      <c r="C79" s="2809">
        <v>1521.1522</v>
      </c>
      <c r="D79" s="1214" t="str">
        <f t="shared" si="15"/>
        <v>投资性房地产减值准备</v>
      </c>
      <c r="E79" s="1098"/>
      <c r="F79" s="1099"/>
      <c r="G79" s="1100"/>
      <c r="H79" s="2765"/>
      <c r="I79" s="641"/>
      <c r="J79" s="641"/>
      <c r="K79" s="641"/>
      <c r="L79" s="641"/>
    </row>
    <row r="80" spans="1:16" ht="17">
      <c r="A80" s="2752"/>
      <c r="B80" s="2749"/>
      <c r="C80" s="2809">
        <v>1601.1603</v>
      </c>
      <c r="D80" s="1214" t="str">
        <f t="shared" si="15"/>
        <v>固定资产减值准备</v>
      </c>
      <c r="E80" s="1098"/>
      <c r="F80" s="1099"/>
      <c r="G80" s="1100"/>
      <c r="H80" s="2765"/>
      <c r="I80" s="641"/>
      <c r="J80" s="641"/>
      <c r="K80" s="641"/>
      <c r="L80" s="641"/>
    </row>
    <row r="81" spans="1:17" ht="17">
      <c r="A81" s="2752"/>
      <c r="B81" s="2749"/>
      <c r="C81" s="2809">
        <v>1605.1608000000001</v>
      </c>
      <c r="D81" s="1214" t="str">
        <f t="shared" si="15"/>
        <v>工程物资减值准备</v>
      </c>
      <c r="E81" s="1098"/>
      <c r="F81" s="1099"/>
      <c r="G81" s="1100"/>
      <c r="H81" s="2765"/>
      <c r="I81" s="641"/>
      <c r="J81" s="641"/>
      <c r="K81" s="641"/>
      <c r="L81" s="641"/>
    </row>
    <row r="82" spans="1:17" ht="17">
      <c r="A82" s="2752"/>
      <c r="B82" s="2749"/>
      <c r="C82" s="2809">
        <v>1604.1606999999999</v>
      </c>
      <c r="D82" s="1214" t="str">
        <f t="shared" si="15"/>
        <v>在建工程减值准备</v>
      </c>
      <c r="E82" s="1098"/>
      <c r="F82" s="1099"/>
      <c r="G82" s="1100"/>
      <c r="H82" s="2765"/>
      <c r="I82" s="641"/>
      <c r="J82" s="641"/>
      <c r="K82" s="641"/>
      <c r="L82" s="641"/>
    </row>
    <row r="83" spans="1:17" ht="17">
      <c r="A83" s="2752"/>
      <c r="B83" s="2749"/>
      <c r="C83" s="2809">
        <v>1621.1623999999999</v>
      </c>
      <c r="D83" s="1214" t="str">
        <f t="shared" si="15"/>
        <v>生产性生物资产减值准备</v>
      </c>
      <c r="E83" s="1098"/>
      <c r="F83" s="1099"/>
      <c r="G83" s="1100"/>
      <c r="H83" s="2765"/>
      <c r="I83" s="641"/>
      <c r="J83" s="641"/>
      <c r="K83" s="641"/>
      <c r="L83" s="641"/>
    </row>
    <row r="84" spans="1:17" ht="17">
      <c r="A84" s="2752"/>
      <c r="B84" s="2749"/>
      <c r="C84" s="2809">
        <v>1631.1632999999999</v>
      </c>
      <c r="D84" s="1214" t="str">
        <f t="shared" si="15"/>
        <v>油气资产减值准备</v>
      </c>
      <c r="E84" s="1098"/>
      <c r="F84" s="1099"/>
      <c r="G84" s="1100"/>
      <c r="H84" s="2765"/>
      <c r="I84" s="641"/>
      <c r="J84" s="641"/>
      <c r="K84" s="641"/>
      <c r="L84" s="641"/>
    </row>
    <row r="85" spans="1:17" ht="17">
      <c r="A85" s="2752"/>
      <c r="B85" s="2749"/>
      <c r="C85" s="2809">
        <v>1701.1703</v>
      </c>
      <c r="D85" s="1214" t="str">
        <f t="shared" si="15"/>
        <v>无形资产减值准备</v>
      </c>
      <c r="E85" s="1098"/>
      <c r="F85" s="1099"/>
      <c r="G85" s="1100"/>
      <c r="H85" s="2765"/>
      <c r="I85" s="641"/>
      <c r="J85" s="641"/>
      <c r="K85" s="641"/>
      <c r="L85" s="641"/>
    </row>
    <row r="86" spans="1:17" ht="17">
      <c r="A86" s="2752"/>
      <c r="B86" s="2749"/>
      <c r="C86" s="2809">
        <v>1711.1712</v>
      </c>
      <c r="D86" s="1214" t="str">
        <f t="shared" si="15"/>
        <v>商誉减值准备</v>
      </c>
      <c r="E86" s="1098"/>
      <c r="F86" s="1099"/>
      <c r="G86" s="1100"/>
      <c r="H86" s="2765"/>
      <c r="I86" s="641"/>
      <c r="J86" s="641"/>
      <c r="K86" s="641"/>
      <c r="L86" s="641"/>
    </row>
    <row r="87" spans="1:17" ht="17">
      <c r="A87" s="2752"/>
      <c r="B87" s="2749"/>
      <c r="C87" s="2809">
        <v>1991.1992</v>
      </c>
      <c r="D87" s="1214" t="str">
        <f t="shared" si="15"/>
        <v>其他</v>
      </c>
      <c r="E87" s="1215"/>
      <c r="F87" s="1216"/>
      <c r="G87" s="1217"/>
      <c r="H87" s="2765"/>
      <c r="I87" s="641"/>
      <c r="J87" s="641"/>
      <c r="K87" s="641"/>
      <c r="L87" s="641"/>
    </row>
    <row r="88" spans="1:17" ht="17">
      <c r="A88" s="2752"/>
      <c r="B88" s="2749"/>
      <c r="C88" s="2809">
        <v>1991</v>
      </c>
      <c r="D88" s="1218" t="str">
        <f t="shared" si="15"/>
        <v>资产减值准备小计</v>
      </c>
      <c r="E88" s="1108"/>
      <c r="F88" s="1219">
        <f>SUM(F72:F87)</f>
        <v>0</v>
      </c>
      <c r="G88" s="1220">
        <f>SUM(G72:G87)</f>
        <v>0</v>
      </c>
      <c r="H88" s="2765"/>
      <c r="I88" s="641"/>
      <c r="J88" s="641"/>
      <c r="K88" s="641"/>
      <c r="L88" s="641"/>
    </row>
    <row r="89" spans="1:17" ht="17">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7">
      <c r="A92" s="2813" t="s">
        <v>2565</v>
      </c>
      <c r="B92" s="2812"/>
      <c r="C92" s="2811"/>
      <c r="D92" s="1119" t="s">
        <v>2571</v>
      </c>
      <c r="E92" s="1221"/>
      <c r="F92" s="1222"/>
      <c r="G92" s="1223"/>
      <c r="H92" s="2824"/>
      <c r="I92" s="1236"/>
      <c r="J92" s="1222"/>
      <c r="K92" s="1237"/>
      <c r="L92" s="1054"/>
      <c r="M92" s="709"/>
      <c r="N92" s="641"/>
      <c r="O92" s="641"/>
      <c r="P92" s="641"/>
      <c r="Q92" s="641"/>
    </row>
    <row r="93" spans="1:17" ht="17">
      <c r="A93" s="2813" t="s">
        <v>2565</v>
      </c>
      <c r="B93" s="2812"/>
      <c r="C93" s="2811"/>
      <c r="D93" s="1174" t="str">
        <f>$F$8</f>
        <v>期末余额</v>
      </c>
      <c r="E93" s="927"/>
      <c r="F93" s="1222"/>
      <c r="G93" s="1224"/>
      <c r="H93" s="2825"/>
      <c r="I93" s="1236"/>
      <c r="J93" s="1222"/>
      <c r="K93" s="1237"/>
      <c r="L93" s="1238"/>
      <c r="M93" s="709"/>
      <c r="N93" s="641"/>
      <c r="O93" s="641"/>
      <c r="P93" s="641"/>
      <c r="Q93" s="641"/>
    </row>
    <row r="94" spans="1:17" ht="17">
      <c r="A94" s="2813" t="s">
        <v>2565</v>
      </c>
      <c r="B94" s="2812"/>
      <c r="C94" s="2811"/>
      <c r="D94" s="1179" t="str">
        <f>D68</f>
        <v>资产总计</v>
      </c>
      <c r="E94" s="1013"/>
      <c r="F94" s="1029" t="s">
        <v>428</v>
      </c>
      <c r="G94" s="1223">
        <f>F68</f>
        <v>15960.77</v>
      </c>
      <c r="H94" s="2825"/>
      <c r="I94" s="1236" t="str">
        <f>I68</f>
        <v>负债和所有者权益（或股东权益）总计</v>
      </c>
      <c r="J94" s="1222"/>
      <c r="K94" s="1001">
        <f>K68</f>
        <v>15960.77</v>
      </c>
      <c r="L94" s="1054">
        <f>ROUND(G94-K94,2)</f>
        <v>0</v>
      </c>
      <c r="M94" s="1239" t="str">
        <f>IF(L94=0,"√","×")</f>
        <v>√</v>
      </c>
      <c r="N94" s="641"/>
      <c r="O94" s="641"/>
      <c r="P94" s="641"/>
      <c r="Q94" s="641"/>
    </row>
    <row r="95" spans="1:17" ht="17">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7">
      <c r="A96" s="2813" t="s">
        <v>2565</v>
      </c>
      <c r="B96" s="2812"/>
      <c r="C96" s="2811"/>
      <c r="D96" s="1227" t="str">
        <f>D68</f>
        <v>资产总计</v>
      </c>
      <c r="E96" s="1228"/>
      <c r="F96" s="1029" t="s">
        <v>428</v>
      </c>
      <c r="G96" s="1223">
        <f>G68</f>
        <v>18285.68</v>
      </c>
      <c r="H96" s="2825"/>
      <c r="I96" s="1241" t="str">
        <f>I68</f>
        <v>负债和所有者权益（或股东权益）总计</v>
      </c>
      <c r="J96" s="1222"/>
      <c r="K96" s="1001">
        <f>L68</f>
        <v>18285.68</v>
      </c>
      <c r="L96" s="1054">
        <f>ROUND(G96-K96,2)</f>
        <v>0</v>
      </c>
      <c r="M96" s="1239" t="str">
        <f>IF(L96=0,"√","×")</f>
        <v>√</v>
      </c>
      <c r="N96" s="641"/>
      <c r="O96" s="641"/>
      <c r="P96" s="641"/>
      <c r="Q96" s="641"/>
    </row>
    <row r="97" spans="1:17" ht="17">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Y/UYeVqvJuhl6TbhIWb74LXL6YLNoug6D803q7ZbqLoq27F+JgnckKYw6Md2fXsPq7LHFZ9Amw/vT7eTSPPQGA==" saltValue="u/x18XT06da3exIthohlzQ==" spinCount="100000" sheet="1" scenarios="1" formatCells="0" autoFilter="0"/>
  <phoneticPr fontId="163" type="noConversion"/>
  <conditionalFormatting sqref="F68:G68">
    <cfRule type="expression" dxfId="4091" priority="1" stopIfTrue="1">
      <formula>ROUND(F68-K68,2)&lt;&gt;0</formula>
    </cfRule>
  </conditionalFormatting>
  <conditionalFormatting sqref="K68:L68">
    <cfRule type="expression" dxfId="4090" priority="2" stopIfTrue="1">
      <formula>ROUND(K68-F68,2)&lt;&gt;0</formula>
    </cfRule>
  </conditionalFormatting>
  <conditionalFormatting sqref="L94 L92 L96:L97">
    <cfRule type="cellIs" dxfId="4089"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19" workbookViewId="0">
      <selection activeCell="F33" sqref="F33"/>
    </sheetView>
  </sheetViews>
  <sheetFormatPr defaultColWidth="9.09765625" defaultRowHeight="13"/>
  <cols>
    <col min="1" max="2" width="9.765625E-2" style="2754" customWidth="1"/>
    <col min="3" max="3" width="48.69921875" style="1" customWidth="1"/>
    <col min="4" max="4" width="7.69921875" style="1" customWidth="1"/>
    <col min="5" max="6" width="20.69921875" style="1" customWidth="1"/>
    <col min="7" max="7" width="5" style="1" customWidth="1"/>
    <col min="8" max="8" width="12.69921875" style="1" customWidth="1"/>
    <col min="9" max="9" width="9.09765625" style="1"/>
    <col min="10" max="12" width="12.69921875" style="1" customWidth="1"/>
    <col min="13" max="16384" width="9.09765625" style="1"/>
  </cols>
  <sheetData>
    <row r="1" spans="1:10" s="637" customFormat="1" ht="0.75" customHeight="1">
      <c r="A1" s="2749"/>
      <c r="B1" s="2749"/>
      <c r="C1" s="642"/>
      <c r="D1" s="642"/>
      <c r="E1" s="642"/>
      <c r="F1" s="642"/>
      <c r="G1" s="720"/>
      <c r="H1" s="720"/>
      <c r="I1" s="720"/>
      <c r="J1" s="720"/>
    </row>
    <row r="2" spans="1:10" ht="27.5">
      <c r="A2" s="2749"/>
      <c r="B2" s="2749"/>
      <c r="C2" s="1133" t="s">
        <v>2573</v>
      </c>
      <c r="D2" s="833"/>
      <c r="E2" s="833"/>
      <c r="F2" s="833"/>
      <c r="G2" s="641"/>
      <c r="H2" s="641"/>
      <c r="I2" s="641"/>
      <c r="J2" s="641"/>
    </row>
    <row r="3" spans="1:10" ht="15.5">
      <c r="A3" s="2749"/>
      <c r="B3" s="2749"/>
      <c r="C3" s="1063" t="str">
        <f>Lead!$F$7</f>
        <v>2019年度</v>
      </c>
      <c r="D3" s="833"/>
      <c r="E3" s="833"/>
      <c r="F3" s="833"/>
      <c r="G3" s="641"/>
      <c r="H3" s="641"/>
      <c r="I3" s="641"/>
      <c r="J3" s="641"/>
    </row>
    <row r="4" spans="1:10" ht="15.5">
      <c r="A4" s="2749"/>
      <c r="B4" s="2749"/>
      <c r="C4" s="1063"/>
      <c r="D4" s="833"/>
      <c r="E4" s="833"/>
      <c r="F4" s="1044" t="s">
        <v>2574</v>
      </c>
      <c r="G4" s="641"/>
      <c r="H4" s="641"/>
      <c r="I4" s="641"/>
      <c r="J4" s="641"/>
    </row>
    <row r="5" spans="1:10" ht="18" customHeight="1">
      <c r="A5" s="2749"/>
      <c r="B5" s="2749"/>
      <c r="C5" s="966" t="str">
        <f>Lead!$B$5&amp;"："&amp;Lead!$C$5</f>
        <v>编制单位：余江县天骏投资管理有限公司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7">
      <c r="A9" s="2752" t="str">
        <f t="shared" ref="A9:A79" si="0">VLOOKUP($B9,Sheet_Items,4,0)</f>
        <v>※</v>
      </c>
      <c r="B9" s="2809">
        <v>6098</v>
      </c>
      <c r="C9" s="1073" t="str">
        <f t="shared" ref="C9:C79" si="1">VLOOKUP($B9,Sheet_Items,6,0)</f>
        <v>一、营业总收入</v>
      </c>
      <c r="D9" s="1081"/>
      <c r="E9" s="921">
        <f>SUM(E10:E13)</f>
        <v>0</v>
      </c>
      <c r="F9" s="1135">
        <f>SUM(F10:F13)</f>
        <v>0</v>
      </c>
      <c r="G9" s="641"/>
      <c r="H9" s="641"/>
      <c r="I9" s="641"/>
      <c r="J9" s="641"/>
    </row>
    <row r="10" spans="1:10" ht="17">
      <c r="A10" s="2752">
        <f t="shared" si="0"/>
        <v>0</v>
      </c>
      <c r="B10" s="2809">
        <v>6001</v>
      </c>
      <c r="C10" s="1654" t="str">
        <f>VLOOKUP($B10,Sheet_Items,7,0)</f>
        <v>其中：营业收入</v>
      </c>
      <c r="D10" s="1136"/>
      <c r="E10" s="1079"/>
      <c r="F10" s="1080">
        <f>IF($B10="","",IF(ISERROR(VLOOKUP($B10,Sheet_Balance1,2,0)),0,VLOOKUP($B10,Sheet_Balance1,2,0)))</f>
        <v>0</v>
      </c>
      <c r="G10" s="641"/>
      <c r="H10" s="641"/>
      <c r="I10" s="641"/>
      <c r="J10" s="641"/>
    </row>
    <row r="11" spans="1:10" ht="17">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7">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7">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7">
      <c r="A14" s="2752" t="str">
        <f t="shared" si="0"/>
        <v>※</v>
      </c>
      <c r="B14" s="2809">
        <v>6598</v>
      </c>
      <c r="C14" s="1137" t="str">
        <f t="shared" si="1"/>
        <v>二、营业总成本</v>
      </c>
      <c r="D14" s="1081"/>
      <c r="E14" s="921">
        <f>SUM(E15:E27)</f>
        <v>2324.91</v>
      </c>
      <c r="F14" s="1135">
        <f>SUM(F15:F27)</f>
        <v>1714.32</v>
      </c>
      <c r="G14" s="641"/>
      <c r="H14" s="641"/>
      <c r="I14" s="641"/>
      <c r="J14" s="641"/>
    </row>
    <row r="15" spans="1:10" ht="17">
      <c r="A15" s="2752">
        <f t="shared" si="0"/>
        <v>0</v>
      </c>
      <c r="B15" s="2809">
        <v>6401</v>
      </c>
      <c r="C15" s="1138" t="str">
        <f t="shared" si="1"/>
        <v>减：营业成本</v>
      </c>
      <c r="D15" s="1081"/>
      <c r="E15" s="1079"/>
      <c r="F15" s="1080">
        <f t="shared" ref="F15:F39" si="2">IF($B15="","",IF(ISERROR(VLOOKUP($B15,Sheet_Balance1,2,0)),0,VLOOKUP($B15,Sheet_Balance1,2,0)))</f>
        <v>0</v>
      </c>
      <c r="G15" s="641"/>
      <c r="H15" s="641"/>
      <c r="I15" s="641"/>
      <c r="J15" s="641"/>
    </row>
    <row r="16" spans="1:10" ht="17">
      <c r="A16" s="2752" t="str">
        <f t="shared" si="0"/>
        <v>△</v>
      </c>
      <c r="B16" s="2809">
        <v>6411</v>
      </c>
      <c r="C16" s="975" t="str">
        <f t="shared" si="1"/>
        <v>利息支出</v>
      </c>
      <c r="D16" s="1081"/>
      <c r="E16" s="1079"/>
      <c r="F16" s="1080">
        <f t="shared" si="2"/>
        <v>0</v>
      </c>
      <c r="G16" s="641"/>
      <c r="H16" s="641"/>
      <c r="I16" s="641"/>
      <c r="J16" s="641"/>
    </row>
    <row r="17" spans="1:10" ht="17">
      <c r="A17" s="2752" t="str">
        <f t="shared" si="0"/>
        <v>△</v>
      </c>
      <c r="B17" s="2809">
        <v>6421</v>
      </c>
      <c r="C17" s="975" t="str">
        <f t="shared" si="1"/>
        <v>手续费及佣金支出</v>
      </c>
      <c r="D17" s="1081"/>
      <c r="E17" s="1079"/>
      <c r="F17" s="1080">
        <f t="shared" si="2"/>
        <v>0</v>
      </c>
      <c r="G17" s="641"/>
      <c r="H17" s="641"/>
      <c r="I17" s="641"/>
      <c r="J17" s="641"/>
    </row>
    <row r="18" spans="1:10" ht="17">
      <c r="A18" s="2752" t="str">
        <f t="shared" si="0"/>
        <v>△</v>
      </c>
      <c r="B18" s="2809">
        <v>6531</v>
      </c>
      <c r="C18" s="975" t="str">
        <f t="shared" si="1"/>
        <v>退保金</v>
      </c>
      <c r="D18" s="1081"/>
      <c r="E18" s="1079"/>
      <c r="F18" s="1080">
        <f t="shared" si="2"/>
        <v>0</v>
      </c>
      <c r="G18" s="641"/>
      <c r="H18" s="641"/>
      <c r="I18" s="641"/>
      <c r="J18" s="641"/>
    </row>
    <row r="19" spans="1:10" ht="17">
      <c r="A19" s="2752" t="str">
        <f t="shared" si="0"/>
        <v>△</v>
      </c>
      <c r="B19" s="2809">
        <v>6510</v>
      </c>
      <c r="C19" s="975" t="str">
        <f t="shared" si="1"/>
        <v>赔付支出净额</v>
      </c>
      <c r="D19" s="1081"/>
      <c r="E19" s="1079"/>
      <c r="F19" s="1080">
        <f t="shared" si="2"/>
        <v>0</v>
      </c>
      <c r="G19" s="641"/>
      <c r="H19" s="641"/>
      <c r="I19" s="641"/>
      <c r="J19" s="641"/>
    </row>
    <row r="20" spans="1:10" ht="17">
      <c r="A20" s="2752" t="str">
        <f t="shared" si="0"/>
        <v>△</v>
      </c>
      <c r="B20" s="2809">
        <v>6505</v>
      </c>
      <c r="C20" s="975" t="str">
        <f t="shared" si="1"/>
        <v>提取保险责任准备金净额</v>
      </c>
      <c r="D20" s="1081"/>
      <c r="E20" s="1079"/>
      <c r="F20" s="1080">
        <f t="shared" si="2"/>
        <v>0</v>
      </c>
      <c r="G20" s="641"/>
      <c r="H20" s="641"/>
      <c r="I20" s="641"/>
      <c r="J20" s="641"/>
    </row>
    <row r="21" spans="1:10" ht="17">
      <c r="A21" s="2752" t="str">
        <f t="shared" si="0"/>
        <v>△</v>
      </c>
      <c r="B21" s="2809">
        <v>6521</v>
      </c>
      <c r="C21" s="975" t="str">
        <f t="shared" si="1"/>
        <v>保单红利支出</v>
      </c>
      <c r="D21" s="1081"/>
      <c r="E21" s="1079"/>
      <c r="F21" s="1080">
        <f t="shared" si="2"/>
        <v>0</v>
      </c>
      <c r="G21" s="641"/>
      <c r="H21" s="641"/>
      <c r="I21" s="641"/>
      <c r="J21" s="641"/>
    </row>
    <row r="22" spans="1:10" ht="17">
      <c r="A22" s="2752" t="str">
        <f t="shared" si="0"/>
        <v>△</v>
      </c>
      <c r="B22" s="2809">
        <v>6542</v>
      </c>
      <c r="C22" s="975" t="str">
        <f t="shared" si="1"/>
        <v>分保费用</v>
      </c>
      <c r="D22" s="1081"/>
      <c r="E22" s="1079"/>
      <c r="F22" s="1080">
        <f t="shared" si="2"/>
        <v>0</v>
      </c>
      <c r="G22" s="641"/>
      <c r="H22" s="641"/>
      <c r="I22" s="641"/>
      <c r="J22" s="641"/>
    </row>
    <row r="23" spans="1:10" ht="17">
      <c r="A23" s="2752">
        <f t="shared" si="0"/>
        <v>0</v>
      </c>
      <c r="B23" s="2809">
        <v>6600</v>
      </c>
      <c r="C23" s="975" t="str">
        <f t="shared" si="1"/>
        <v>税金及附加</v>
      </c>
      <c r="D23" s="1081"/>
      <c r="E23" s="1079"/>
      <c r="F23" s="1080">
        <f t="shared" si="2"/>
        <v>0</v>
      </c>
      <c r="G23" s="641"/>
      <c r="H23" s="641"/>
      <c r="I23" s="641"/>
      <c r="J23" s="641"/>
    </row>
    <row r="24" spans="1:10" ht="17">
      <c r="A24" s="2752">
        <f t="shared" si="0"/>
        <v>0</v>
      </c>
      <c r="B24" s="2809">
        <v>6601</v>
      </c>
      <c r="C24" s="975" t="str">
        <f t="shared" si="1"/>
        <v>销售费用</v>
      </c>
      <c r="D24" s="1081"/>
      <c r="E24" s="1079"/>
      <c r="F24" s="1080">
        <f t="shared" si="2"/>
        <v>0</v>
      </c>
      <c r="G24" s="641"/>
      <c r="H24" s="641"/>
      <c r="I24" s="641"/>
      <c r="J24" s="641"/>
    </row>
    <row r="25" spans="1:10" ht="17">
      <c r="A25" s="2752">
        <f t="shared" si="0"/>
        <v>0</v>
      </c>
      <c r="B25" s="2809">
        <v>6602</v>
      </c>
      <c r="C25" s="975" t="str">
        <f t="shared" si="1"/>
        <v>管理费用</v>
      </c>
      <c r="D25" s="1081"/>
      <c r="E25" s="1079">
        <v>1000</v>
      </c>
      <c r="F25" s="1080">
        <f t="shared" si="2"/>
        <v>580</v>
      </c>
      <c r="G25" s="641"/>
      <c r="H25" s="641"/>
      <c r="I25" s="641"/>
      <c r="J25" s="641"/>
    </row>
    <row r="26" spans="1:10" ht="17">
      <c r="A26" s="2752">
        <f>VLOOKUP($B26,Sheet_Items,4,0)</f>
        <v>0</v>
      </c>
      <c r="B26" s="2809">
        <v>6606</v>
      </c>
      <c r="C26" s="975" t="str">
        <f>VLOOKUP($B26,Sheet_Items,6,0)</f>
        <v>研发费用</v>
      </c>
      <c r="D26" s="1081"/>
      <c r="E26" s="1079"/>
      <c r="F26" s="1080">
        <f t="shared" si="2"/>
        <v>0</v>
      </c>
      <c r="G26" s="641"/>
      <c r="H26" s="641"/>
      <c r="I26" s="641"/>
      <c r="J26" s="641"/>
    </row>
    <row r="27" spans="1:10" ht="17">
      <c r="A27" s="2752">
        <f t="shared" si="0"/>
        <v>0</v>
      </c>
      <c r="B27" s="2809">
        <v>6603</v>
      </c>
      <c r="C27" s="975" t="str">
        <f t="shared" si="1"/>
        <v>财务费用</v>
      </c>
      <c r="D27" s="1081"/>
      <c r="E27" s="1079">
        <v>1324.91</v>
      </c>
      <c r="F27" s="1080">
        <f t="shared" si="2"/>
        <v>1134.32</v>
      </c>
      <c r="G27" s="641"/>
      <c r="H27" s="641"/>
      <c r="I27" s="641"/>
      <c r="J27" s="641"/>
    </row>
    <row r="28" spans="1:10" ht="17">
      <c r="A28" s="2752">
        <f>VLOOKUP($B28,Sheet_Items,4,0)</f>
        <v>0</v>
      </c>
      <c r="B28" s="2809" t="s">
        <v>803</v>
      </c>
      <c r="C28" s="975" t="str">
        <f>VLOOKUP($B28,Sheet_Items,6,0)</f>
        <v>其中：利息费用</v>
      </c>
      <c r="D28" s="1081"/>
      <c r="E28" s="1079"/>
      <c r="F28" s="1080">
        <f t="shared" si="2"/>
        <v>0</v>
      </c>
      <c r="G28" s="641"/>
      <c r="H28" s="641"/>
      <c r="I28" s="641"/>
      <c r="J28" s="641"/>
    </row>
    <row r="29" spans="1:10" ht="17">
      <c r="A29" s="2752">
        <f>VLOOKUP($B29,Sheet_Items,4,0)</f>
        <v>0</v>
      </c>
      <c r="B29" s="2809" t="s">
        <v>810</v>
      </c>
      <c r="C29" s="1140" t="str">
        <f>VLOOKUP($B29,Sheet_Items,6,0)</f>
        <v>利息收入</v>
      </c>
      <c r="D29" s="1081"/>
      <c r="E29" s="1079">
        <v>50.09</v>
      </c>
      <c r="F29" s="1080">
        <v>33.44</v>
      </c>
      <c r="G29" s="641"/>
      <c r="H29" s="641"/>
      <c r="I29" s="641"/>
      <c r="J29" s="641"/>
    </row>
    <row r="30" spans="1:10" ht="17">
      <c r="A30" s="2752">
        <f>VLOOKUP($B30,Sheet_Items,4,0)</f>
        <v>0</v>
      </c>
      <c r="B30" s="2809">
        <v>6181</v>
      </c>
      <c r="C30" s="1139" t="str">
        <f>VLOOKUP($B30,Sheet_Items,7,0)</f>
        <v>加：其他收益</v>
      </c>
      <c r="D30" s="1081"/>
      <c r="E30" s="1079"/>
      <c r="F30" s="1080">
        <f t="shared" si="2"/>
        <v>0</v>
      </c>
      <c r="G30" s="641"/>
      <c r="H30" s="641"/>
      <c r="I30" s="641"/>
      <c r="J30" s="641"/>
    </row>
    <row r="31" spans="1:10" ht="17">
      <c r="A31" s="2752">
        <f t="shared" si="0"/>
        <v>0</v>
      </c>
      <c r="B31" s="2809">
        <v>6111</v>
      </c>
      <c r="C31" s="975" t="str">
        <f t="shared" si="1"/>
        <v>投资收益（损失以“-”号填列）</v>
      </c>
      <c r="D31" s="1081"/>
      <c r="E31" s="1079"/>
      <c r="F31" s="1080">
        <f t="shared" si="2"/>
        <v>0</v>
      </c>
      <c r="G31" s="641"/>
      <c r="H31" s="641"/>
      <c r="I31" s="641"/>
      <c r="J31" s="641"/>
    </row>
    <row r="32" spans="1:10" ht="17">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7">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7">
      <c r="A34" s="2752" t="str">
        <f t="shared" si="0"/>
        <v>△</v>
      </c>
      <c r="B34" s="2809">
        <v>6161</v>
      </c>
      <c r="C34" s="975" t="str">
        <f t="shared" si="1"/>
        <v>汇兑收益（损失以“-”号填列）</v>
      </c>
      <c r="D34" s="1081"/>
      <c r="E34" s="1079"/>
      <c r="F34" s="1080">
        <f t="shared" si="2"/>
        <v>0</v>
      </c>
      <c r="G34" s="641"/>
      <c r="H34" s="641"/>
      <c r="I34" s="641"/>
      <c r="J34" s="641"/>
    </row>
    <row r="35" spans="1:10" ht="17">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7">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7">
      <c r="A37" s="2752" t="str">
        <f>VLOOKUP($B37,Sheet_Items,4,0)</f>
        <v>_JR</v>
      </c>
      <c r="B37" s="2809">
        <v>6672</v>
      </c>
      <c r="C37" s="1142" t="str">
        <f>VLOOKUP($B37,Sheet_Items,6,0)</f>
        <v>信用减值损失（损失以“-”号填列）</v>
      </c>
      <c r="D37" s="1081"/>
      <c r="E37" s="1079"/>
      <c r="F37" s="1080">
        <f t="shared" si="2"/>
        <v>0</v>
      </c>
      <c r="G37" s="641"/>
      <c r="H37" s="641"/>
      <c r="I37" s="641"/>
      <c r="J37" s="641"/>
    </row>
    <row r="38" spans="1:10" ht="17">
      <c r="A38" s="2752">
        <f>VLOOKUP($B38,Sheet_Items,4,0)</f>
        <v>0</v>
      </c>
      <c r="B38" s="2809">
        <v>6671</v>
      </c>
      <c r="C38" s="975" t="str">
        <f>VLOOKUP($B38,Sheet_Items,6,0)</f>
        <v>资产减值损失（损失以“-”号填列）</v>
      </c>
      <c r="D38" s="1081"/>
      <c r="E38" s="1079"/>
      <c r="F38" s="1080">
        <f t="shared" si="2"/>
        <v>0</v>
      </c>
      <c r="G38" s="641"/>
      <c r="H38" s="641"/>
      <c r="I38" s="641"/>
      <c r="J38" s="641"/>
    </row>
    <row r="39" spans="1:10" ht="17">
      <c r="A39" s="2752">
        <f>VLOOKUP($B39,Sheet_Items,4,0)</f>
        <v>0</v>
      </c>
      <c r="B39" s="2809">
        <v>6171</v>
      </c>
      <c r="C39" s="1139" t="str">
        <f>VLOOKUP($B39,Sheet_Items,6,0)</f>
        <v>资产处置收益（损失以“-”号填列）</v>
      </c>
      <c r="D39" s="1081"/>
      <c r="E39" s="1079"/>
      <c r="F39" s="1080">
        <f t="shared" si="2"/>
        <v>0</v>
      </c>
      <c r="G39" s="641"/>
      <c r="H39" s="641"/>
      <c r="I39" s="641"/>
      <c r="J39" s="641"/>
    </row>
    <row r="40" spans="1:10" ht="17">
      <c r="A40" s="2752" t="str">
        <f t="shared" si="0"/>
        <v>＝</v>
      </c>
      <c r="B40" s="2809">
        <v>6689</v>
      </c>
      <c r="C40" s="1143" t="str">
        <f>VLOOKUP($B40,Sheet_Items,7,0)</f>
        <v>三、营业利润（亏损以“-”号填列）</v>
      </c>
      <c r="D40" s="1081"/>
      <c r="E40" s="1079">
        <f>SUM(E10:E13)-SUM(E15:E27)+SUM(E30:E39)-SUM(E32,E33)</f>
        <v>-2324.91</v>
      </c>
      <c r="F40" s="1080">
        <f>SUM(F10:F13)-SUM(F15:F27)+SUM(F30:F39)-SUM(F32,F33)</f>
        <v>-1714.32</v>
      </c>
      <c r="G40" s="641"/>
      <c r="H40" s="641"/>
      <c r="I40" s="641"/>
      <c r="J40" s="641"/>
    </row>
    <row r="41" spans="1:10" ht="17">
      <c r="A41" s="2752">
        <f t="shared" si="0"/>
        <v>0</v>
      </c>
      <c r="B41" s="2809">
        <v>6710</v>
      </c>
      <c r="C41" s="975" t="str">
        <f t="shared" si="1"/>
        <v>加：营业外收入</v>
      </c>
      <c r="D41" s="1081"/>
      <c r="E41" s="1079"/>
      <c r="F41" s="1080">
        <f>IF($B41="","",IF(ISERROR(VLOOKUP($B41,Sheet_Balance1,2,0)),0,VLOOKUP($B41,Sheet_Balance1,2,0)))</f>
        <v>0</v>
      </c>
      <c r="G41" s="641"/>
      <c r="H41" s="641"/>
      <c r="I41" s="641"/>
      <c r="J41" s="641"/>
    </row>
    <row r="42" spans="1:10" ht="17">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7">
      <c r="A43" s="2752" t="str">
        <f t="shared" si="0"/>
        <v>＝</v>
      </c>
      <c r="B43" s="2809">
        <v>6788</v>
      </c>
      <c r="C43" s="1144" t="str">
        <f>VLOOKUP($B43,Sheet_Items,7,0)</f>
        <v>四、利润总额（亏损总额以“-”号填列）</v>
      </c>
      <c r="D43" s="1081"/>
      <c r="E43" s="1082">
        <f>SUM(E40,E41,-E42)</f>
        <v>-2324.91</v>
      </c>
      <c r="F43" s="1083">
        <f>SUM(F40,F41,-F42)</f>
        <v>-1714.32</v>
      </c>
      <c r="G43" s="641"/>
      <c r="H43" s="641"/>
      <c r="I43" s="641"/>
      <c r="J43" s="641"/>
    </row>
    <row r="44" spans="1:10" ht="17">
      <c r="A44" s="2752">
        <f t="shared" si="0"/>
        <v>0</v>
      </c>
      <c r="B44" s="2809">
        <v>6791</v>
      </c>
      <c r="C44" s="975" t="str">
        <f t="shared" si="1"/>
        <v>减：所得税费用</v>
      </c>
      <c r="D44" s="1081"/>
      <c r="E44" s="1079"/>
      <c r="F44" s="1080">
        <f>IF($B44="","",IF(ISERROR(VLOOKUP($B44,Sheet_Balance1,2,0)),0,VLOOKUP($B44,Sheet_Balance1,2,0)))</f>
        <v>0</v>
      </c>
      <c r="G44" s="641"/>
      <c r="H44" s="641"/>
      <c r="I44" s="641"/>
      <c r="J44" s="641"/>
    </row>
    <row r="45" spans="1:10" ht="17">
      <c r="A45" s="2752" t="str">
        <f t="shared" si="0"/>
        <v>＝</v>
      </c>
      <c r="B45" s="2809">
        <v>6799</v>
      </c>
      <c r="C45" s="1144" t="str">
        <f>VLOOKUP($B45,Sheet_Items,7,0)</f>
        <v>五、净利润（净亏损以“-”号填列）</v>
      </c>
      <c r="D45" s="1081"/>
      <c r="E45" s="1082">
        <f>SUM(E43,-E44)</f>
        <v>-2324.91</v>
      </c>
      <c r="F45" s="1083">
        <f>SUM(F43,-F44)</f>
        <v>-1714.32</v>
      </c>
      <c r="G45" s="641"/>
      <c r="H45" s="641"/>
      <c r="I45" s="641"/>
      <c r="J45" s="641"/>
    </row>
    <row r="46" spans="1:10" ht="17">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7">
      <c r="A47" s="2752">
        <f t="shared" si="3"/>
        <v>0</v>
      </c>
      <c r="B47" s="2809">
        <v>6816</v>
      </c>
      <c r="C47" s="975" t="str">
        <f t="shared" si="4"/>
        <v>1.持续经营净利润（净亏损以“-”号填列）</v>
      </c>
      <c r="D47" s="1081" t="s">
        <v>19</v>
      </c>
      <c r="E47" s="1079">
        <f>E45</f>
        <v>-2324.91</v>
      </c>
      <c r="F47" s="1080">
        <f>F45</f>
        <v>-1714.32</v>
      </c>
      <c r="G47" s="641"/>
      <c r="H47" s="641"/>
      <c r="I47" s="641"/>
      <c r="J47" s="641"/>
    </row>
    <row r="48" spans="1:10" ht="17">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7">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6">
      <c r="A50" s="2752" t="str">
        <f>VLOOKUP($B50,Sheet_Items,4,0)</f>
        <v>※</v>
      </c>
      <c r="B50" s="2809">
        <v>6811</v>
      </c>
      <c r="C50" s="975" t="str">
        <f>VLOOKUP($B50,Sheet_Items,6,0)</f>
        <v>1.归属于母公司所有者的净利润（净亏损以“-”号填列）</v>
      </c>
      <c r="D50" s="1081"/>
      <c r="E50" s="1079">
        <f>SUM(E45)</f>
        <v>-2324.91</v>
      </c>
      <c r="F50" s="1080">
        <f>SUM(F45)</f>
        <v>-1714.32</v>
      </c>
      <c r="G50" s="641"/>
      <c r="H50" s="641"/>
      <c r="I50" s="641"/>
      <c r="J50" s="641"/>
    </row>
    <row r="51" spans="1:10" ht="17">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7">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26">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7">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7">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7">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7">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7">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7">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7">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7">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7">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7">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7">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7">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7">
      <c r="A66" s="2752" t="str">
        <f t="shared" si="7"/>
        <v>_JR</v>
      </c>
      <c r="B66" s="2828" t="s">
        <v>927</v>
      </c>
      <c r="C66" s="1655" t="str">
        <f t="shared" si="5"/>
        <v>其他债权投资信用减值准备</v>
      </c>
      <c r="D66" s="1146"/>
      <c r="E66" s="1147"/>
      <c r="F66" s="1148">
        <f t="shared" si="6"/>
        <v>0</v>
      </c>
      <c r="G66" s="641"/>
      <c r="H66" s="641"/>
      <c r="I66" s="641"/>
      <c r="J66" s="641"/>
    </row>
    <row r="67" spans="1:10" ht="17">
      <c r="A67" s="2752" t="str">
        <f t="shared" si="7"/>
        <v>_JR</v>
      </c>
      <c r="B67" s="2828" t="s">
        <v>930</v>
      </c>
      <c r="C67" s="1655" t="str">
        <f t="shared" si="5"/>
        <v>现金流量套期储备</v>
      </c>
      <c r="D67" s="1146"/>
      <c r="E67" s="1147"/>
      <c r="F67" s="1148">
        <f t="shared" si="6"/>
        <v>0</v>
      </c>
      <c r="G67" s="641"/>
      <c r="H67" s="641"/>
      <c r="I67" s="641"/>
      <c r="J67" s="641"/>
    </row>
    <row r="68" spans="1:10" ht="17">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7">
      <c r="A69" s="2752" t="str">
        <f t="shared" si="0"/>
        <v>Ｘ</v>
      </c>
      <c r="B69" s="2828">
        <v>6829.2349999999997</v>
      </c>
      <c r="C69" s="1655" t="str">
        <f t="shared" si="5"/>
        <v>外币财务报表折算差额</v>
      </c>
      <c r="D69" s="1146"/>
      <c r="E69" s="1147"/>
      <c r="F69" s="1148">
        <f t="shared" si="6"/>
        <v>0</v>
      </c>
      <c r="G69" s="641"/>
      <c r="H69" s="641"/>
      <c r="I69" s="641"/>
      <c r="J69" s="641"/>
    </row>
    <row r="70" spans="1:10" ht="39">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9">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7">
      <c r="A72" s="2752">
        <f t="shared" si="0"/>
        <v>0</v>
      </c>
      <c r="B72" s="2828">
        <v>6829.2389999999996</v>
      </c>
      <c r="C72" s="1655" t="str">
        <f t="shared" si="5"/>
        <v>其他</v>
      </c>
      <c r="D72" s="1146"/>
      <c r="E72" s="1147"/>
      <c r="F72" s="1148">
        <f t="shared" si="6"/>
        <v>0</v>
      </c>
      <c r="G72" s="641"/>
      <c r="H72" s="641"/>
      <c r="I72" s="641"/>
      <c r="J72" s="641"/>
    </row>
    <row r="73" spans="1:10" ht="17">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7">
      <c r="A74" s="2752" t="str">
        <f t="shared" si="0"/>
        <v>＝</v>
      </c>
      <c r="B74" s="2809">
        <v>6839</v>
      </c>
      <c r="C74" s="1144" t="str">
        <f t="shared" si="5"/>
        <v>七、综合收益总额</v>
      </c>
      <c r="D74" s="1081"/>
      <c r="E74" s="1082">
        <f>SUM(E45,E52)</f>
        <v>-2324.91</v>
      </c>
      <c r="F74" s="1083">
        <f>SUM(F45,F52)</f>
        <v>-1714.32</v>
      </c>
      <c r="G74" s="641"/>
      <c r="H74" s="641"/>
      <c r="I74" s="641"/>
      <c r="J74" s="641"/>
    </row>
    <row r="75" spans="1:10" ht="17">
      <c r="A75" s="2752" t="str">
        <f t="shared" si="0"/>
        <v>※</v>
      </c>
      <c r="B75" s="2809">
        <v>6841</v>
      </c>
      <c r="C75" s="1151" t="str">
        <f t="shared" si="5"/>
        <v>（一）归属于母公司所有者的综合收益总额</v>
      </c>
      <c r="D75" s="1152"/>
      <c r="E75" s="1153">
        <f>SUM(E50,E53)</f>
        <v>-2324.91</v>
      </c>
      <c r="F75" s="1154">
        <f>SUM(F50,F53)</f>
        <v>-1714.32</v>
      </c>
      <c r="G75" s="641"/>
      <c r="H75" s="641"/>
      <c r="I75" s="641"/>
      <c r="J75" s="641"/>
    </row>
    <row r="76" spans="1:10" ht="17">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7">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7">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7">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7">
      <c r="A80" s="2749"/>
      <c r="B80" s="2752"/>
      <c r="C80" s="1652" t="s">
        <v>5649</v>
      </c>
      <c r="D80" s="641"/>
      <c r="E80" s="641"/>
      <c r="F80" s="641" t="str">
        <f>IF($B80="","",IF(ISERROR(VLOOKUP($B80,Sheet_Balance1,2,0)),0,VLOOKUP($B80,Sheet_Balance1,2,0)))</f>
        <v/>
      </c>
      <c r="G80" s="641"/>
      <c r="H80" s="641"/>
      <c r="I80" s="641"/>
      <c r="J80" s="641"/>
    </row>
    <row r="81" spans="1:12" ht="17">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7">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7">
      <c r="A87" s="2813" t="s">
        <v>2565</v>
      </c>
      <c r="B87" s="2812"/>
      <c r="C87" s="1119" t="s">
        <v>2571</v>
      </c>
      <c r="D87" s="1029"/>
      <c r="E87" s="1121"/>
      <c r="F87" s="1054"/>
      <c r="G87" s="709"/>
      <c r="H87" s="709"/>
      <c r="I87" s="709"/>
      <c r="J87" s="734"/>
      <c r="K87" s="1189"/>
      <c r="L87" s="753"/>
    </row>
    <row r="88" spans="1:12" ht="17">
      <c r="A88" s="2813" t="s">
        <v>2579</v>
      </c>
      <c r="B88" s="2812"/>
      <c r="C88" s="1169" t="str">
        <f>C45</f>
        <v>五、净利润（净亏损以“-”号填列）</v>
      </c>
      <c r="D88" s="1029" t="s">
        <v>441</v>
      </c>
      <c r="E88" s="1170">
        <f>E45</f>
        <v>-2324.91</v>
      </c>
      <c r="F88" s="1171">
        <f>F45</f>
        <v>-1714.32</v>
      </c>
      <c r="G88" s="709"/>
      <c r="H88" s="709"/>
      <c r="I88" s="709"/>
      <c r="J88" s="734"/>
      <c r="K88" s="1189"/>
      <c r="L88" s="1190"/>
    </row>
    <row r="89" spans="1:12" ht="39">
      <c r="A89" s="2813" t="s">
        <v>2579</v>
      </c>
      <c r="B89" s="2812"/>
      <c r="C89" s="1172" t="str">
        <f>C50&amp;" + "&amp;C51</f>
        <v>1.归属于母公司所有者的净利润（净亏损以“-”号填列） + 2.少数股东损益（净亏损以“-”号填列）</v>
      </c>
      <c r="D89" s="1029" t="s">
        <v>441</v>
      </c>
      <c r="E89" s="1170">
        <f>E50+E51</f>
        <v>-2324.91</v>
      </c>
      <c r="F89" s="1171">
        <f>F50+F51</f>
        <v>-1714.32</v>
      </c>
      <c r="G89" s="709"/>
      <c r="H89" s="709"/>
      <c r="I89" s="709"/>
      <c r="J89" s="734"/>
      <c r="K89" s="1189"/>
      <c r="L89" s="1190"/>
    </row>
    <row r="90" spans="1:12" ht="17">
      <c r="A90" s="2813" t="s">
        <v>2579</v>
      </c>
      <c r="B90" s="2812"/>
      <c r="C90" s="1173" t="s">
        <v>2580</v>
      </c>
      <c r="D90" s="1029"/>
      <c r="E90" s="1032">
        <f>ROUND(E88-E89,2)</f>
        <v>0</v>
      </c>
      <c r="F90" s="1056">
        <f>ROUND(F88-F89,2)</f>
        <v>0</v>
      </c>
      <c r="G90" s="709"/>
      <c r="H90" s="709"/>
      <c r="I90" s="709"/>
      <c r="J90" s="734"/>
      <c r="K90" s="1189"/>
      <c r="L90" s="1190"/>
    </row>
    <row r="91" spans="1:12" ht="17.5" thickTop="1">
      <c r="A91" s="2813" t="s">
        <v>2579</v>
      </c>
      <c r="B91" s="2812"/>
      <c r="C91" s="1174" t="s">
        <v>2581</v>
      </c>
      <c r="D91" s="1029"/>
      <c r="E91" s="1033" t="str">
        <f>IF(E90=0,"√","×")</f>
        <v>√</v>
      </c>
      <c r="F91" s="1057" t="str">
        <f>IF(F90=0,"√","×")</f>
        <v>√</v>
      </c>
      <c r="G91" s="709"/>
      <c r="H91" s="709"/>
      <c r="I91" s="709"/>
      <c r="J91" s="734"/>
      <c r="K91" s="1189"/>
      <c r="L91" s="1190"/>
    </row>
    <row r="92" spans="1:12" ht="17">
      <c r="A92" s="2813" t="s">
        <v>2565</v>
      </c>
      <c r="B92" s="2812"/>
      <c r="C92" s="1169" t="str">
        <f>C45</f>
        <v>五、净利润（净亏损以“-”号填列）</v>
      </c>
      <c r="D92" s="1029" t="s">
        <v>441</v>
      </c>
      <c r="E92" s="1170">
        <f>E45</f>
        <v>-2324.91</v>
      </c>
      <c r="F92" s="1171">
        <f>F45</f>
        <v>-1714.32</v>
      </c>
      <c r="G92" s="709"/>
      <c r="H92" s="709"/>
      <c r="I92" s="709"/>
      <c r="J92" s="734"/>
      <c r="K92" s="1189"/>
      <c r="L92" s="1190"/>
    </row>
    <row r="93" spans="1:12" ht="26">
      <c r="A93" s="2813" t="s">
        <v>2565</v>
      </c>
      <c r="B93" s="2812"/>
      <c r="C93" s="1172" t="str">
        <f>C47 &amp; " + " &amp;C48</f>
        <v>1.持续经营净利润（净亏损以“-”号填列） + 2.终止经营净利润（净亏损以“-”号填列）</v>
      </c>
      <c r="D93" s="1029" t="s">
        <v>441</v>
      </c>
      <c r="E93" s="1170">
        <f>E47+E48</f>
        <v>-2324.91</v>
      </c>
      <c r="F93" s="1171">
        <f>F47+F48</f>
        <v>-1714.32</v>
      </c>
      <c r="G93" s="709"/>
      <c r="H93" s="709"/>
      <c r="I93" s="709"/>
      <c r="J93" s="734"/>
      <c r="K93" s="1189"/>
      <c r="L93" s="1190"/>
    </row>
    <row r="94" spans="1:12" ht="17.5" thickBot="1">
      <c r="A94" s="2813" t="s">
        <v>2565</v>
      </c>
      <c r="B94" s="2812"/>
      <c r="C94" s="1173" t="s">
        <v>2580</v>
      </c>
      <c r="D94" s="1029"/>
      <c r="E94" s="1032">
        <f>ROUND(E92-E93,2)</f>
        <v>0</v>
      </c>
      <c r="F94" s="1056">
        <f>ROUND(F92-F93,2)</f>
        <v>0</v>
      </c>
      <c r="G94" s="709"/>
      <c r="H94" s="709"/>
      <c r="I94" s="709"/>
      <c r="J94" s="734"/>
      <c r="K94" s="1189"/>
      <c r="L94" s="1190"/>
    </row>
    <row r="95" spans="1:12" ht="17.5" thickTop="1">
      <c r="A95" s="2813" t="s">
        <v>2565</v>
      </c>
      <c r="B95" s="2812"/>
      <c r="C95" s="1174" t="s">
        <v>2581</v>
      </c>
      <c r="D95" s="1029"/>
      <c r="E95" s="1033" t="str">
        <f>IF(E94=0,"√","×")</f>
        <v>√</v>
      </c>
      <c r="F95" s="1057" t="str">
        <f>IF(F94=0,"√","×")</f>
        <v>√</v>
      </c>
      <c r="G95" s="709"/>
      <c r="H95" s="709"/>
      <c r="I95" s="709"/>
      <c r="J95" s="734"/>
      <c r="K95" s="1189"/>
      <c r="L95" s="1190"/>
    </row>
    <row r="96" spans="1:12" ht="17">
      <c r="A96" s="2813" t="s">
        <v>2579</v>
      </c>
      <c r="B96" s="2812"/>
      <c r="C96" s="1169" t="str">
        <f>C74</f>
        <v>七、综合收益总额</v>
      </c>
      <c r="D96" s="1029" t="s">
        <v>441</v>
      </c>
      <c r="E96" s="1170">
        <f>E74</f>
        <v>-2324.91</v>
      </c>
      <c r="F96" s="1055">
        <f>F74</f>
        <v>-1714.32</v>
      </c>
      <c r="G96" s="709"/>
      <c r="H96" s="709"/>
      <c r="I96" s="709"/>
      <c r="J96" s="734"/>
      <c r="K96" s="1189"/>
      <c r="L96" s="1190"/>
    </row>
    <row r="97" spans="1:12" ht="26">
      <c r="A97" s="2813" t="s">
        <v>2579</v>
      </c>
      <c r="B97" s="2812"/>
      <c r="C97" s="1172" t="str">
        <f>C75&amp;" 加 "&amp;C76</f>
        <v>（一）归属于母公司所有者的综合收益总额 加 （二）归属于少数股东的综合收益总额</v>
      </c>
      <c r="D97" s="1029" t="s">
        <v>441</v>
      </c>
      <c r="E97" s="1170">
        <f>E75+E76</f>
        <v>-2324.91</v>
      </c>
      <c r="F97" s="1171">
        <f>F75+F76</f>
        <v>-1714.32</v>
      </c>
      <c r="G97" s="709"/>
      <c r="H97" s="709"/>
      <c r="I97" s="709"/>
      <c r="J97" s="734"/>
      <c r="K97" s="1189"/>
      <c r="L97" s="1190"/>
    </row>
    <row r="98" spans="1:12" ht="17">
      <c r="A98" s="2813" t="s">
        <v>2579</v>
      </c>
      <c r="B98" s="2812"/>
      <c r="C98" s="1173" t="s">
        <v>2580</v>
      </c>
      <c r="D98" s="1029"/>
      <c r="E98" s="1032">
        <f>ROUND(E96-E97,2)</f>
        <v>0</v>
      </c>
      <c r="F98" s="1056">
        <f>ROUND(F96-F97,2)</f>
        <v>0</v>
      </c>
      <c r="G98" s="709"/>
      <c r="H98" s="709"/>
      <c r="I98" s="641"/>
      <c r="J98" s="734"/>
      <c r="K98" s="1189"/>
      <c r="L98" s="1190"/>
    </row>
    <row r="99" spans="1:12" ht="17">
      <c r="A99" s="2813" t="s">
        <v>2565</v>
      </c>
      <c r="B99" s="2829"/>
      <c r="C99" s="1174" t="s">
        <v>2581</v>
      </c>
      <c r="D99" s="1029"/>
      <c r="E99" s="1033" t="str">
        <f>IF(E98=0,"√","×")</f>
        <v>√</v>
      </c>
      <c r="F99" s="1057" t="str">
        <f>IF(F98=0,"√","×")</f>
        <v>√</v>
      </c>
      <c r="G99" s="709"/>
      <c r="H99" s="709"/>
      <c r="I99" s="641"/>
      <c r="J99" s="734"/>
      <c r="K99" s="1189"/>
      <c r="L99" s="1190"/>
    </row>
    <row r="100" spans="1:12" ht="17">
      <c r="A100" s="2813" t="s">
        <v>2565</v>
      </c>
      <c r="B100" s="2812"/>
      <c r="C100" s="1119" t="s">
        <v>2582</v>
      </c>
      <c r="D100" s="1029"/>
      <c r="E100" s="1121"/>
      <c r="F100" s="1054"/>
      <c r="G100" s="709"/>
      <c r="H100" s="709"/>
      <c r="I100" s="641"/>
      <c r="J100" s="734"/>
      <c r="K100" s="1189"/>
      <c r="L100" s="1190"/>
    </row>
    <row r="101" spans="1:12" ht="17" hidden="1">
      <c r="A101" s="2813" t="s">
        <v>2565</v>
      </c>
      <c r="B101" s="2812"/>
      <c r="C101" s="1175" t="str">
        <f>C45</f>
        <v>五、净利润（净亏损以“-”号填列）</v>
      </c>
      <c r="D101" s="1176"/>
      <c r="E101" s="1177"/>
      <c r="F101" s="1178"/>
      <c r="G101" s="709"/>
      <c r="H101" s="709"/>
      <c r="I101" s="641"/>
      <c r="J101" s="734"/>
      <c r="K101" s="1189"/>
      <c r="L101" s="1190"/>
    </row>
    <row r="102" spans="1:12" ht="17" hidden="1">
      <c r="A102" s="2813" t="s">
        <v>2565</v>
      </c>
      <c r="B102" s="2812"/>
      <c r="C102" s="1179" t="str">
        <f>preCE!$C$16</f>
        <v>（一）净利润</v>
      </c>
      <c r="D102" s="1180"/>
      <c r="E102" s="1177"/>
      <c r="F102" s="1178"/>
      <c r="G102" s="709"/>
      <c r="H102" s="709"/>
      <c r="I102" s="641"/>
      <c r="J102" s="734"/>
      <c r="K102" s="1189"/>
      <c r="L102" s="1190"/>
    </row>
    <row r="103" spans="1:12" ht="17" hidden="1">
      <c r="A103" s="2813" t="s">
        <v>2565</v>
      </c>
      <c r="B103" s="2812"/>
      <c r="C103" s="1173" t="s">
        <v>2580</v>
      </c>
      <c r="D103" s="1180"/>
      <c r="E103" s="1181"/>
      <c r="F103" s="1182"/>
      <c r="G103" s="709"/>
      <c r="H103" s="709"/>
      <c r="I103" s="641"/>
      <c r="J103" s="734"/>
      <c r="K103" s="1189"/>
      <c r="L103" s="1190"/>
    </row>
    <row r="104" spans="1:12" ht="17" hidden="1">
      <c r="A104" s="2813" t="s">
        <v>2565</v>
      </c>
      <c r="B104" s="2812"/>
      <c r="C104" s="1183"/>
      <c r="D104" s="1180"/>
      <c r="E104" s="1184"/>
      <c r="F104" s="1185"/>
      <c r="G104" s="709"/>
      <c r="H104" s="709"/>
      <c r="I104" s="641"/>
      <c r="J104" s="734"/>
      <c r="K104" s="1189"/>
      <c r="L104" s="1190"/>
    </row>
    <row r="105" spans="1:12" ht="26">
      <c r="A105" s="2813" t="s">
        <v>2565</v>
      </c>
      <c r="B105" s="2812"/>
      <c r="C105" s="1175" t="str">
        <f>$C$50</f>
        <v>1.归属于母公司所有者的净利润（净亏损以“-”号填列）</v>
      </c>
      <c r="D105" s="1029" t="s">
        <v>441</v>
      </c>
      <c r="E105" s="1028">
        <f>E50</f>
        <v>-2324.91</v>
      </c>
      <c r="F105" s="1055">
        <f>F50</f>
        <v>-1714.32</v>
      </c>
      <c r="G105" s="709"/>
      <c r="H105" s="709"/>
      <c r="I105" s="641"/>
      <c r="J105" s="734"/>
      <c r="K105" s="1189"/>
      <c r="L105" s="1190"/>
    </row>
    <row r="106" spans="1:12" ht="17">
      <c r="A106" s="2813" t="s">
        <v>2565</v>
      </c>
      <c r="B106" s="2812"/>
      <c r="C106" s="1179" t="str">
        <f>preCE!$C$18&amp;":"&amp;preCE!$N$8</f>
        <v>（一）综合收益总额:未分配利润</v>
      </c>
      <c r="D106" s="1029" t="s">
        <v>442</v>
      </c>
      <c r="E106" s="1028">
        <f>preCE!N18</f>
        <v>-2324.91</v>
      </c>
      <c r="F106" s="1055">
        <f>preCE!AB18</f>
        <v>-1714.32</v>
      </c>
      <c r="G106" s="709"/>
      <c r="H106" s="709"/>
      <c r="I106" s="641"/>
      <c r="J106" s="734"/>
      <c r="K106" s="1189"/>
      <c r="L106" s="1190"/>
    </row>
    <row r="107" spans="1:12" ht="17">
      <c r="A107" s="2813" t="s">
        <v>2565</v>
      </c>
      <c r="B107" s="2812"/>
      <c r="C107" s="1173" t="s">
        <v>2580</v>
      </c>
      <c r="D107" s="1029"/>
      <c r="E107" s="1032">
        <f>ROUND(E105-E106,2)</f>
        <v>0</v>
      </c>
      <c r="F107" s="1056">
        <f>ROUND(F105-F106,2)</f>
        <v>0</v>
      </c>
      <c r="G107" s="709"/>
      <c r="H107" s="709"/>
      <c r="I107" s="641"/>
      <c r="J107" s="734"/>
      <c r="K107" s="1189"/>
      <c r="L107" s="1190"/>
    </row>
    <row r="108" spans="1:12" ht="17.5" thickTop="1">
      <c r="A108" s="2813" t="s">
        <v>2565</v>
      </c>
      <c r="B108" s="2812"/>
      <c r="C108" s="1174" t="s">
        <v>2581</v>
      </c>
      <c r="D108" s="1029"/>
      <c r="E108" s="1033" t="str">
        <f>IF(E107=0,"√","×")</f>
        <v>√</v>
      </c>
      <c r="F108" s="1057" t="str">
        <f>IF(F107=0,"√","×")</f>
        <v>√</v>
      </c>
      <c r="G108" s="709"/>
      <c r="H108" s="709"/>
      <c r="I108" s="641"/>
      <c r="J108" s="734"/>
      <c r="K108" s="1189"/>
      <c r="L108" s="1190"/>
    </row>
    <row r="109" spans="1:12" ht="17" hidden="1">
      <c r="A109" s="2813" t="s">
        <v>2579</v>
      </c>
      <c r="B109" s="2812"/>
      <c r="C109" s="1175" t="str">
        <f>$C$51</f>
        <v>2.少数股东损益（净亏损以“-”号填列）</v>
      </c>
      <c r="D109" s="1176"/>
      <c r="E109" s="1177"/>
      <c r="F109" s="1178"/>
      <c r="G109" s="709"/>
      <c r="H109" s="709"/>
      <c r="I109" s="641"/>
      <c r="J109" s="734"/>
      <c r="K109" s="1189"/>
      <c r="L109" s="1190"/>
    </row>
    <row r="110" spans="1:12" ht="17" hidden="1">
      <c r="A110" s="2813" t="s">
        <v>2579</v>
      </c>
      <c r="B110" s="2812"/>
      <c r="C110" s="1179" t="str">
        <f>preCE!$C$16&amp;"|"&amp;preCE!$P$8</f>
        <v>（一）净利润|少数股东权益</v>
      </c>
      <c r="D110" s="1180"/>
      <c r="E110" s="1177"/>
      <c r="F110" s="1178"/>
      <c r="G110" s="709"/>
      <c r="H110" s="709"/>
      <c r="I110" s="641"/>
      <c r="J110" s="734"/>
      <c r="K110" s="1189"/>
      <c r="L110" s="1190"/>
    </row>
    <row r="111" spans="1:12" ht="17" hidden="1">
      <c r="A111" s="2813" t="s">
        <v>2579</v>
      </c>
      <c r="B111" s="2812"/>
      <c r="C111" s="1173" t="s">
        <v>2580</v>
      </c>
      <c r="D111" s="1180"/>
      <c r="E111" s="1181"/>
      <c r="F111" s="1182"/>
      <c r="G111" s="709"/>
      <c r="H111" s="709"/>
      <c r="I111" s="641"/>
      <c r="J111" s="734"/>
      <c r="K111" s="1189"/>
      <c r="L111" s="1190"/>
    </row>
    <row r="112" spans="1:12" ht="17" hidden="1">
      <c r="A112" s="2813" t="s">
        <v>2579</v>
      </c>
      <c r="B112" s="2812"/>
      <c r="C112" s="1183"/>
      <c r="D112" s="1180"/>
      <c r="E112" s="1184"/>
      <c r="F112" s="1185"/>
      <c r="G112" s="709"/>
      <c r="H112" s="709"/>
      <c r="I112" s="641"/>
      <c r="J112" s="734"/>
      <c r="K112" s="1189"/>
      <c r="L112" s="1190"/>
    </row>
    <row r="113" spans="1:12" ht="26">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7">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7">
      <c r="A115" s="2813" t="s">
        <v>2565</v>
      </c>
      <c r="B115" s="2812"/>
      <c r="C115" s="1173" t="s">
        <v>2580</v>
      </c>
      <c r="D115" s="1029"/>
      <c r="E115" s="1032">
        <f>ROUND(E113-E114,2)</f>
        <v>0</v>
      </c>
      <c r="F115" s="1056">
        <f>ROUND(F113-F114,2)</f>
        <v>0</v>
      </c>
      <c r="G115" s="709"/>
      <c r="H115" s="709"/>
      <c r="I115" s="641"/>
      <c r="J115" s="734"/>
      <c r="K115" s="1189"/>
      <c r="L115" s="1190"/>
    </row>
    <row r="116" spans="1:12" ht="17">
      <c r="A116" s="2813" t="s">
        <v>2565</v>
      </c>
      <c r="B116" s="2812"/>
      <c r="C116" s="1174" t="s">
        <v>2581</v>
      </c>
      <c r="D116" s="1029"/>
      <c r="E116" s="1033" t="str">
        <f>IF(E115=0,"√","×")</f>
        <v>√</v>
      </c>
      <c r="F116" s="1057" t="str">
        <f>IF(F115=0,"√","×")</f>
        <v>√</v>
      </c>
      <c r="G116" s="709"/>
      <c r="H116" s="641"/>
      <c r="I116" s="641"/>
      <c r="J116" s="641"/>
      <c r="K116" s="1189"/>
      <c r="L116" s="1190"/>
    </row>
    <row r="117" spans="1:12" ht="17">
      <c r="A117" s="2813" t="s">
        <v>2565</v>
      </c>
      <c r="B117" s="2812"/>
      <c r="C117" s="1169" t="str">
        <f>C74</f>
        <v>七、综合收益总额</v>
      </c>
      <c r="D117" s="1029" t="s">
        <v>441</v>
      </c>
      <c r="E117" s="1028">
        <f>E74</f>
        <v>-2324.91</v>
      </c>
      <c r="F117" s="1055">
        <f>F74</f>
        <v>-1714.32</v>
      </c>
      <c r="G117" s="709"/>
      <c r="H117" s="641"/>
      <c r="I117" s="641"/>
      <c r="J117" s="641"/>
      <c r="K117" s="1189"/>
      <c r="L117" s="1190"/>
    </row>
    <row r="118" spans="1:12" ht="17">
      <c r="A118" s="2813" t="s">
        <v>2565</v>
      </c>
      <c r="B118" s="2812"/>
      <c r="C118" s="1179" t="str">
        <f>preCE!$C$18&amp;":"&amp;preCE!$Q$8</f>
        <v>（一）综合收益总额:所有者权益合计</v>
      </c>
      <c r="D118" s="1029" t="s">
        <v>442</v>
      </c>
      <c r="E118" s="1028">
        <f>preCE!Q18</f>
        <v>-2324.91</v>
      </c>
      <c r="F118" s="1055">
        <f>preCE!AE18</f>
        <v>-1714.32</v>
      </c>
      <c r="G118" s="709"/>
      <c r="H118" s="641"/>
      <c r="I118" s="641"/>
      <c r="J118" s="641"/>
      <c r="K118" s="1189"/>
      <c r="L118" s="1190"/>
    </row>
    <row r="119" spans="1:12" ht="17">
      <c r="A119" s="2813" t="s">
        <v>2565</v>
      </c>
      <c r="B119" s="2812"/>
      <c r="C119" s="1173" t="s">
        <v>2580</v>
      </c>
      <c r="D119" s="1029"/>
      <c r="E119" s="1032">
        <f>ROUND(E117-E118,2)</f>
        <v>0</v>
      </c>
      <c r="F119" s="1056">
        <f>ROUND(F117-F118,2)</f>
        <v>0</v>
      </c>
      <c r="G119" s="709"/>
      <c r="H119" s="641"/>
      <c r="I119" s="641"/>
      <c r="J119" s="641"/>
      <c r="K119" s="1189"/>
      <c r="L119" s="1190"/>
    </row>
    <row r="120" spans="1:12" ht="17">
      <c r="A120" s="2813" t="s">
        <v>2565</v>
      </c>
      <c r="B120" s="2812"/>
      <c r="C120" s="1174" t="s">
        <v>2581</v>
      </c>
      <c r="D120" s="1029"/>
      <c r="E120" s="1033" t="str">
        <f>IF(E119=0,"√","×")</f>
        <v>√</v>
      </c>
      <c r="F120" s="1057" t="str">
        <f>IF(F119=0,"√","×")</f>
        <v>√</v>
      </c>
      <c r="G120" s="709"/>
      <c r="H120" s="641"/>
      <c r="I120" s="641"/>
      <c r="J120" s="641"/>
      <c r="K120" s="1189"/>
      <c r="L120" s="1190"/>
    </row>
    <row r="121" spans="1:12" ht="17">
      <c r="A121" s="2813" t="s">
        <v>2565</v>
      </c>
      <c r="B121" s="2812"/>
      <c r="C121" s="1175" t="str">
        <f>$C$75</f>
        <v>（一）归属于母公司所有者的综合收益总额</v>
      </c>
      <c r="D121" s="1029" t="s">
        <v>441</v>
      </c>
      <c r="E121" s="1028">
        <f>E75</f>
        <v>-2324.91</v>
      </c>
      <c r="F121" s="1055">
        <f>F75</f>
        <v>-1714.32</v>
      </c>
      <c r="G121" s="709"/>
      <c r="H121" s="641"/>
      <c r="I121" s="641"/>
      <c r="J121" s="641"/>
      <c r="K121" s="1189"/>
      <c r="L121" s="1190"/>
    </row>
    <row r="122" spans="1:12" ht="17">
      <c r="A122" s="2813" t="s">
        <v>2565</v>
      </c>
      <c r="B122" s="2812"/>
      <c r="C122" s="1179" t="str">
        <f>preCE!$C$18</f>
        <v>（一）综合收益总额</v>
      </c>
      <c r="D122" s="1029" t="s">
        <v>442</v>
      </c>
      <c r="E122" s="1028">
        <f>preCE!Q18-preCE!P18</f>
        <v>-2324.91</v>
      </c>
      <c r="F122" s="1055">
        <f>preCE!AE18-preCE!AD18</f>
        <v>-1714.32</v>
      </c>
      <c r="G122" s="709"/>
      <c r="H122" s="641"/>
      <c r="I122" s="641"/>
      <c r="J122" s="641"/>
      <c r="K122" s="1189"/>
      <c r="L122" s="1190"/>
    </row>
    <row r="123" spans="1:12" ht="17">
      <c r="A123" s="2813" t="s">
        <v>2565</v>
      </c>
      <c r="B123" s="2812"/>
      <c r="C123" s="1173" t="s">
        <v>2580</v>
      </c>
      <c r="D123" s="1029"/>
      <c r="E123" s="1032">
        <f>ROUND(E121-E122,2)</f>
        <v>0</v>
      </c>
      <c r="F123" s="1056">
        <f>ROUND(F121-F122,2)</f>
        <v>0</v>
      </c>
      <c r="G123" s="709"/>
      <c r="H123" s="641"/>
      <c r="I123" s="641"/>
      <c r="J123" s="641"/>
      <c r="K123" s="1189"/>
      <c r="L123" s="1190"/>
    </row>
    <row r="124" spans="1:12" ht="17">
      <c r="A124" s="2813" t="s">
        <v>2565</v>
      </c>
      <c r="B124" s="2812"/>
      <c r="C124" s="1174" t="s">
        <v>2581</v>
      </c>
      <c r="D124" s="1029"/>
      <c r="E124" s="1033" t="str">
        <f>IF(E123=0,"√","×")</f>
        <v>√</v>
      </c>
      <c r="F124" s="1057" t="str">
        <f>IF(F123=0,"√","×")</f>
        <v>√</v>
      </c>
      <c r="G124" s="709"/>
      <c r="H124" s="641"/>
      <c r="I124" s="641"/>
      <c r="J124" s="641"/>
      <c r="K124" s="1189"/>
      <c r="L124" s="1190"/>
    </row>
    <row r="125" spans="1:12" ht="17">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7">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7">
      <c r="A127" s="2813" t="s">
        <v>2579</v>
      </c>
      <c r="B127" s="2812"/>
      <c r="C127" s="1173" t="s">
        <v>2580</v>
      </c>
      <c r="D127" s="1029"/>
      <c r="E127" s="1032">
        <f>ROUND(E125-E126,2)</f>
        <v>0</v>
      </c>
      <c r="F127" s="1056">
        <f>ROUND(F125-F126,2)</f>
        <v>0</v>
      </c>
      <c r="G127" s="709"/>
      <c r="H127" s="641"/>
      <c r="I127" s="641"/>
      <c r="J127" s="641"/>
      <c r="K127" s="1189"/>
      <c r="L127" s="1190"/>
    </row>
    <row r="128" spans="1:12" ht="17">
      <c r="A128" s="2813" t="s">
        <v>2579</v>
      </c>
      <c r="B128" s="2812"/>
      <c r="C128" s="1173" t="s">
        <v>2581</v>
      </c>
      <c r="D128" s="1029"/>
      <c r="E128" s="1033" t="str">
        <f>IF(E127=0,"√","×")</f>
        <v>√</v>
      </c>
      <c r="F128" s="1057" t="str">
        <f>IF(F127=0,"√","×")</f>
        <v>√</v>
      </c>
      <c r="G128" s="709"/>
      <c r="H128" s="641"/>
      <c r="K128" s="1189"/>
      <c r="L128" s="1190"/>
    </row>
    <row r="129" spans="1:12" ht="17">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JBV6Lt4eLxjamUpRuUy50qujXjrcW8takXsvlaGlBgsoJwLyPVNNchAiW+fpwKiWTh7l8pCACiNhgWfM7ZgCHg==" saltValue="85vWp72n+bwx10w+wUhaMA==" spinCount="100000" sheet="1" scenarios="1" formatCells="0" autoFilter="0"/>
  <phoneticPr fontId="163" type="noConversion"/>
  <conditionalFormatting sqref="C9:F74">
    <cfRule type="expression" dxfId="4088" priority="23" stopIfTrue="1">
      <formula>AND($A9&lt;&gt;"＝",MOD(ROW(),3)=0)</formula>
    </cfRule>
    <cfRule type="expression" dxfId="4087" priority="24" stopIfTrue="1">
      <formula>$A9="："</formula>
    </cfRule>
    <cfRule type="expression" dxfId="4086" priority="25" stopIfTrue="1">
      <formula>$A9="＝"</formula>
    </cfRule>
  </conditionalFormatting>
  <conditionalFormatting sqref="E90:F90 E98:F98 E103:F103 E107:F107 E111:F111 E115:F115 E123:F123 E127:F127 E129:F129 E119:F119">
    <cfRule type="cellIs" dxfId="4085" priority="27" stopIfTrue="1" operator="notEqual">
      <formula>0</formula>
    </cfRule>
  </conditionalFormatting>
  <conditionalFormatting sqref="E94:F94">
    <cfRule type="cellIs" dxfId="4084"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25" workbookViewId="0">
      <selection activeCell="E36" sqref="E36:F41"/>
    </sheetView>
  </sheetViews>
  <sheetFormatPr defaultColWidth="9.09765625" defaultRowHeight="13"/>
  <cols>
    <col min="1" max="2" width="9.765625E-2" style="2754" customWidth="1"/>
    <col min="3" max="3" width="53" style="1" customWidth="1"/>
    <col min="4" max="4" width="7.69921875" style="1" customWidth="1"/>
    <col min="5" max="6" width="20.69921875" style="1" customWidth="1"/>
    <col min="7" max="7" width="3.8984375" style="1" customWidth="1"/>
    <col min="8" max="8" width="12.69921875" style="1" customWidth="1"/>
    <col min="9" max="9" width="9.09765625" style="1"/>
    <col min="10" max="12" width="12.69921875" style="1" customWidth="1"/>
    <col min="13" max="16384" width="9.09765625" style="1"/>
  </cols>
  <sheetData>
    <row r="1" spans="1:10" s="637" customFormat="1" ht="0.75" customHeight="1">
      <c r="A1" s="2749"/>
      <c r="B1" s="2749"/>
      <c r="C1" s="642"/>
      <c r="D1" s="642"/>
      <c r="E1" s="642"/>
      <c r="F1" s="642"/>
      <c r="G1" s="720"/>
      <c r="H1" s="720"/>
      <c r="I1" s="720"/>
      <c r="J1" s="720"/>
    </row>
    <row r="2" spans="1:10" ht="27.5">
      <c r="A2" s="2749"/>
      <c r="B2" s="2749"/>
      <c r="C2" s="1061" t="s">
        <v>2583</v>
      </c>
      <c r="D2" s="833"/>
      <c r="E2" s="833"/>
      <c r="F2" s="833"/>
      <c r="G2" s="641"/>
      <c r="H2" s="1062" t="str">
        <f>IF(F68="","请选择CF补充资料编制方案...","")</f>
        <v>请选择CF补充资料编制方案...</v>
      </c>
      <c r="I2" s="641"/>
      <c r="J2" s="641"/>
    </row>
    <row r="3" spans="1:10" ht="15.5">
      <c r="A3" s="2749"/>
      <c r="B3" s="2749"/>
      <c r="C3" s="1063" t="str">
        <f>Lead!$F$7</f>
        <v>2019年度</v>
      </c>
      <c r="D3" s="833"/>
      <c r="E3" s="833"/>
      <c r="F3" s="833"/>
      <c r="G3" s="641"/>
      <c r="H3" s="641"/>
      <c r="I3" s="641"/>
      <c r="J3" s="641"/>
    </row>
    <row r="4" spans="1:10" ht="15.5">
      <c r="A4" s="2749"/>
      <c r="B4" s="2749"/>
      <c r="C4" s="1064"/>
      <c r="D4" s="833"/>
      <c r="E4" s="833"/>
      <c r="F4" s="1044" t="s">
        <v>2584</v>
      </c>
      <c r="G4" s="641"/>
      <c r="H4" s="641"/>
      <c r="I4" s="641"/>
      <c r="J4" s="641"/>
    </row>
    <row r="5" spans="1:10" ht="18" customHeight="1">
      <c r="A5" s="2749"/>
      <c r="B5" s="2749"/>
      <c r="C5" s="966" t="str">
        <f>Lead!$B$5&amp;"："&amp;Lead!$C$5</f>
        <v>编制单位：余江县天骏投资管理有限公司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7">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7">
      <c r="A10" s="2752">
        <f t="shared" si="0"/>
        <v>0</v>
      </c>
      <c r="B10" s="2809">
        <v>7001</v>
      </c>
      <c r="C10" s="1077" t="str">
        <f t="shared" si="1"/>
        <v>销售商品、提供劳务收到的现金</v>
      </c>
      <c r="D10" s="1078"/>
      <c r="E10" s="1079"/>
      <c r="F10" s="1080">
        <f t="shared" si="2"/>
        <v>0</v>
      </c>
      <c r="G10" s="641"/>
      <c r="H10" s="641"/>
      <c r="I10" s="641"/>
      <c r="J10" s="641"/>
    </row>
    <row r="11" spans="1:10" ht="17">
      <c r="A11" s="2752" t="str">
        <f t="shared" si="0"/>
        <v>△</v>
      </c>
      <c r="B11" s="2809">
        <v>7011</v>
      </c>
      <c r="C11" s="975" t="str">
        <f t="shared" si="1"/>
        <v>客户存款和同业存放款项净增加额</v>
      </c>
      <c r="D11" s="1081"/>
      <c r="E11" s="1079"/>
      <c r="F11" s="1080">
        <f t="shared" si="2"/>
        <v>0</v>
      </c>
      <c r="G11" s="641"/>
      <c r="H11" s="641"/>
      <c r="I11" s="641"/>
      <c r="J11" s="641"/>
    </row>
    <row r="12" spans="1:10" ht="17">
      <c r="A12" s="2752" t="str">
        <f t="shared" si="0"/>
        <v>△</v>
      </c>
      <c r="B12" s="2809">
        <v>7012</v>
      </c>
      <c r="C12" s="1077" t="str">
        <f t="shared" si="1"/>
        <v>向中央银行借款净增加额</v>
      </c>
      <c r="D12" s="1078"/>
      <c r="E12" s="1079"/>
      <c r="F12" s="1080">
        <f t="shared" si="2"/>
        <v>0</v>
      </c>
      <c r="G12" s="641"/>
      <c r="H12" s="641"/>
      <c r="I12" s="641"/>
      <c r="J12" s="641"/>
    </row>
    <row r="13" spans="1:10" ht="17">
      <c r="A13" s="2752" t="str">
        <f t="shared" si="0"/>
        <v>△</v>
      </c>
      <c r="B13" s="2809">
        <v>7013</v>
      </c>
      <c r="C13" s="1077" t="str">
        <f t="shared" si="1"/>
        <v>向其他金融机构拆入资金净增加额</v>
      </c>
      <c r="D13" s="1078"/>
      <c r="E13" s="1079"/>
      <c r="F13" s="1080">
        <f t="shared" si="2"/>
        <v>0</v>
      </c>
      <c r="G13" s="641"/>
      <c r="H13" s="641"/>
      <c r="I13" s="641"/>
      <c r="J13" s="641"/>
    </row>
    <row r="14" spans="1:10" ht="17">
      <c r="A14" s="2752" t="str">
        <f t="shared" si="0"/>
        <v>△</v>
      </c>
      <c r="B14" s="2809">
        <v>7014</v>
      </c>
      <c r="C14" s="1077" t="str">
        <f t="shared" si="1"/>
        <v>收到原保险合同保费取得的现金</v>
      </c>
      <c r="D14" s="1078"/>
      <c r="E14" s="1079"/>
      <c r="F14" s="1080">
        <f t="shared" si="2"/>
        <v>0</v>
      </c>
      <c r="G14" s="641"/>
      <c r="H14" s="641"/>
      <c r="I14" s="641"/>
      <c r="J14" s="641"/>
    </row>
    <row r="15" spans="1:10" ht="17">
      <c r="A15" s="2752" t="str">
        <f t="shared" si="0"/>
        <v>△</v>
      </c>
      <c r="B15" s="2809">
        <v>7015</v>
      </c>
      <c r="C15" s="1077" t="str">
        <f t="shared" si="1"/>
        <v>收到再保业务现金净额</v>
      </c>
      <c r="D15" s="1078"/>
      <c r="E15" s="1079"/>
      <c r="F15" s="1080">
        <f t="shared" si="2"/>
        <v>0</v>
      </c>
      <c r="G15" s="641"/>
      <c r="H15" s="641"/>
      <c r="I15" s="641"/>
      <c r="J15" s="641"/>
    </row>
    <row r="16" spans="1:10" ht="17">
      <c r="A16" s="2752" t="str">
        <f t="shared" si="0"/>
        <v>△</v>
      </c>
      <c r="B16" s="2809">
        <v>7016</v>
      </c>
      <c r="C16" s="1077" t="str">
        <f t="shared" si="1"/>
        <v>保户储金及投资款净增加额</v>
      </c>
      <c r="D16" s="1078"/>
      <c r="E16" s="1079"/>
      <c r="F16" s="1080">
        <f t="shared" si="2"/>
        <v>0</v>
      </c>
      <c r="G16" s="641"/>
      <c r="H16" s="641"/>
      <c r="I16" s="641"/>
      <c r="J16" s="641"/>
    </row>
    <row r="17" spans="1:10" ht="17">
      <c r="A17" s="2752" t="str">
        <f t="shared" si="0"/>
        <v>△</v>
      </c>
      <c r="B17" s="2809">
        <v>7023</v>
      </c>
      <c r="C17" s="1077" t="str">
        <f t="shared" si="1"/>
        <v>收取利息、手续费及佣金的现金</v>
      </c>
      <c r="D17" s="1078"/>
      <c r="E17" s="1079"/>
      <c r="F17" s="1080">
        <f t="shared" si="2"/>
        <v>0</v>
      </c>
      <c r="G17" s="641"/>
      <c r="H17" s="641"/>
      <c r="I17" s="641"/>
      <c r="J17" s="641"/>
    </row>
    <row r="18" spans="1:10" ht="17">
      <c r="A18" s="2752" t="str">
        <f t="shared" si="0"/>
        <v>△</v>
      </c>
      <c r="B18" s="2809">
        <v>7025</v>
      </c>
      <c r="C18" s="1077" t="str">
        <f t="shared" si="1"/>
        <v>拆入资金净增加额</v>
      </c>
      <c r="D18" s="1078"/>
      <c r="E18" s="1079"/>
      <c r="F18" s="1080">
        <f t="shared" si="2"/>
        <v>0</v>
      </c>
      <c r="G18" s="641"/>
      <c r="H18" s="641"/>
      <c r="I18" s="641"/>
      <c r="J18" s="641"/>
    </row>
    <row r="19" spans="1:10" ht="17">
      <c r="A19" s="2752" t="str">
        <f t="shared" si="0"/>
        <v>△</v>
      </c>
      <c r="B19" s="2809">
        <v>7026</v>
      </c>
      <c r="C19" s="1077" t="str">
        <f t="shared" si="1"/>
        <v>回购业务资金净增加额</v>
      </c>
      <c r="D19" s="1078"/>
      <c r="E19" s="1079"/>
      <c r="F19" s="1080">
        <f t="shared" si="2"/>
        <v>0</v>
      </c>
      <c r="G19" s="641"/>
      <c r="H19" s="641"/>
      <c r="I19" s="641"/>
      <c r="J19" s="641"/>
    </row>
    <row r="20" spans="1:10" ht="17">
      <c r="A20" s="2752" t="str">
        <f t="shared" si="0"/>
        <v>△</v>
      </c>
      <c r="B20" s="2809">
        <v>7024</v>
      </c>
      <c r="C20" s="1077" t="str">
        <f t="shared" si="1"/>
        <v>代理买卖证券收到的现金净额</v>
      </c>
      <c r="D20" s="1078"/>
      <c r="E20" s="1079"/>
      <c r="F20" s="1080">
        <f t="shared" si="2"/>
        <v>0</v>
      </c>
      <c r="G20" s="641"/>
      <c r="H20" s="641"/>
      <c r="I20" s="641"/>
      <c r="J20" s="641"/>
    </row>
    <row r="21" spans="1:10" ht="17">
      <c r="A21" s="2752">
        <f t="shared" si="0"/>
        <v>0</v>
      </c>
      <c r="B21" s="2809">
        <v>7031</v>
      </c>
      <c r="C21" s="1077" t="str">
        <f t="shared" si="1"/>
        <v>收到的税费返还</v>
      </c>
      <c r="D21" s="1078"/>
      <c r="E21" s="1079"/>
      <c r="F21" s="1080">
        <f t="shared" si="2"/>
        <v>0</v>
      </c>
      <c r="G21" s="641"/>
      <c r="H21" s="641"/>
      <c r="I21" s="641"/>
      <c r="J21" s="641"/>
    </row>
    <row r="22" spans="1:10" ht="17">
      <c r="A22" s="2752">
        <f t="shared" si="0"/>
        <v>0</v>
      </c>
      <c r="B22" s="2809">
        <v>7046</v>
      </c>
      <c r="C22" s="1077" t="str">
        <f t="shared" si="1"/>
        <v>收到其他与经营活动有关的现金</v>
      </c>
      <c r="D22" s="1078"/>
      <c r="E22" s="1079">
        <v>50.09</v>
      </c>
      <c r="F22" s="1080">
        <f t="shared" si="2"/>
        <v>21238.44</v>
      </c>
      <c r="G22" s="641"/>
      <c r="H22" s="641"/>
      <c r="I22" s="641"/>
      <c r="J22" s="641"/>
    </row>
    <row r="23" spans="1:10" ht="17">
      <c r="A23" s="2752" t="str">
        <f t="shared" si="0"/>
        <v>＝</v>
      </c>
      <c r="B23" s="2809">
        <v>7048</v>
      </c>
      <c r="C23" s="1073" t="str">
        <f t="shared" si="1"/>
        <v>经营活动现金流入小计</v>
      </c>
      <c r="D23" s="1078"/>
      <c r="E23" s="1082">
        <f>SUM(E10:E22)</f>
        <v>50.09</v>
      </c>
      <c r="F23" s="1083">
        <f>SUM(F10:F22)</f>
        <v>21238.44</v>
      </c>
      <c r="G23" s="641"/>
      <c r="H23" s="641"/>
      <c r="I23" s="641"/>
      <c r="J23" s="641"/>
    </row>
    <row r="24" spans="1:10" ht="17">
      <c r="A24" s="2752">
        <f t="shared" si="0"/>
        <v>0</v>
      </c>
      <c r="B24" s="2809">
        <v>7051</v>
      </c>
      <c r="C24" s="1077" t="str">
        <f t="shared" si="1"/>
        <v>购买商品、接受劳务支付的现金</v>
      </c>
      <c r="D24" s="1078"/>
      <c r="E24" s="1079"/>
      <c r="F24" s="1080">
        <f t="shared" ref="F24:F33" si="3">IF($B24="","",IF(ISERROR(VLOOKUP($B24,Sheet_Balance1,2,0)),0,VLOOKUP($B24,Sheet_Balance1,2,0)))</f>
        <v>0</v>
      </c>
      <c r="G24" s="641"/>
      <c r="H24" s="641"/>
      <c r="I24" s="641"/>
      <c r="J24" s="641"/>
    </row>
    <row r="25" spans="1:10" ht="17">
      <c r="A25" s="2752" t="str">
        <f t="shared" si="0"/>
        <v>△</v>
      </c>
      <c r="B25" s="2809">
        <v>7053</v>
      </c>
      <c r="C25" s="1077" t="str">
        <f t="shared" si="1"/>
        <v>客户贷款及垫款净增加额</v>
      </c>
      <c r="D25" s="1078"/>
      <c r="E25" s="1079"/>
      <c r="F25" s="1080">
        <f t="shared" si="3"/>
        <v>0</v>
      </c>
      <c r="G25" s="641"/>
      <c r="H25" s="641"/>
      <c r="I25" s="641"/>
      <c r="J25" s="641"/>
    </row>
    <row r="26" spans="1:10" ht="17">
      <c r="A26" s="2752" t="str">
        <f t="shared" si="0"/>
        <v>△</v>
      </c>
      <c r="B26" s="2809">
        <v>7054</v>
      </c>
      <c r="C26" s="1077" t="str">
        <f t="shared" si="1"/>
        <v>存放中央银行和同业款项净增加额</v>
      </c>
      <c r="D26" s="1078"/>
      <c r="E26" s="1079"/>
      <c r="F26" s="1080">
        <f t="shared" si="3"/>
        <v>0</v>
      </c>
      <c r="G26" s="641"/>
      <c r="H26" s="641"/>
      <c r="I26" s="641"/>
      <c r="J26" s="641"/>
    </row>
    <row r="27" spans="1:10" ht="17">
      <c r="A27" s="2752" t="str">
        <f t="shared" si="0"/>
        <v>△</v>
      </c>
      <c r="B27" s="2809">
        <v>7055</v>
      </c>
      <c r="C27" s="1077" t="str">
        <f t="shared" si="1"/>
        <v>支付原保险合同赔付款项的现金</v>
      </c>
      <c r="D27" s="1078"/>
      <c r="E27" s="1079"/>
      <c r="F27" s="1080">
        <f t="shared" si="3"/>
        <v>0</v>
      </c>
      <c r="G27" s="641"/>
      <c r="H27" s="641"/>
      <c r="I27" s="641"/>
      <c r="J27" s="641"/>
    </row>
    <row r="28" spans="1:10" ht="17">
      <c r="A28" s="2752" t="str">
        <f t="shared" si="0"/>
        <v>△</v>
      </c>
      <c r="B28" s="2809">
        <v>7058</v>
      </c>
      <c r="C28" s="1077" t="str">
        <f t="shared" si="1"/>
        <v>拆出资金净增加额</v>
      </c>
      <c r="D28" s="1078"/>
      <c r="E28" s="1079"/>
      <c r="F28" s="1080">
        <f t="shared" si="3"/>
        <v>0</v>
      </c>
      <c r="G28" s="641"/>
      <c r="H28" s="641"/>
      <c r="I28" s="641"/>
      <c r="J28" s="641"/>
    </row>
    <row r="29" spans="1:10" ht="17">
      <c r="A29" s="2752" t="str">
        <f t="shared" si="0"/>
        <v>△</v>
      </c>
      <c r="B29" s="2809">
        <v>7056</v>
      </c>
      <c r="C29" s="1077" t="str">
        <f t="shared" si="1"/>
        <v>支付利息、手续费及佣金的现金</v>
      </c>
      <c r="D29" s="1078"/>
      <c r="E29" s="1079"/>
      <c r="F29" s="1080">
        <f t="shared" si="3"/>
        <v>0</v>
      </c>
      <c r="G29" s="641"/>
      <c r="H29" s="641"/>
      <c r="I29" s="641"/>
      <c r="J29" s="641"/>
    </row>
    <row r="30" spans="1:10" ht="17">
      <c r="A30" s="2752" t="str">
        <f t="shared" si="0"/>
        <v>△</v>
      </c>
      <c r="B30" s="2809">
        <v>7057</v>
      </c>
      <c r="C30" s="1077" t="str">
        <f t="shared" si="1"/>
        <v>支付保单红利的现金</v>
      </c>
      <c r="D30" s="1078"/>
      <c r="E30" s="1079"/>
      <c r="F30" s="1080">
        <f t="shared" si="3"/>
        <v>0</v>
      </c>
      <c r="G30" s="641"/>
      <c r="H30" s="641"/>
      <c r="I30" s="641"/>
      <c r="J30" s="641"/>
    </row>
    <row r="31" spans="1:10" ht="17">
      <c r="A31" s="2752">
        <f t="shared" si="0"/>
        <v>0</v>
      </c>
      <c r="B31" s="2809">
        <v>7061</v>
      </c>
      <c r="C31" s="1077" t="str">
        <f t="shared" si="1"/>
        <v>支付给职工以及为职工支付的现金</v>
      </c>
      <c r="D31" s="1078"/>
      <c r="E31" s="1079"/>
      <c r="F31" s="1080">
        <f t="shared" si="3"/>
        <v>0</v>
      </c>
      <c r="G31" s="641"/>
      <c r="H31" s="641"/>
      <c r="I31" s="641"/>
      <c r="J31" s="641"/>
    </row>
    <row r="32" spans="1:10" ht="17">
      <c r="A32" s="2752">
        <f t="shared" si="0"/>
        <v>0</v>
      </c>
      <c r="B32" s="2809">
        <v>7071</v>
      </c>
      <c r="C32" s="1077" t="str">
        <f t="shared" si="1"/>
        <v>支付的各项税费</v>
      </c>
      <c r="D32" s="1078"/>
      <c r="E32" s="1079"/>
      <c r="F32" s="1080">
        <f t="shared" si="3"/>
        <v>0</v>
      </c>
      <c r="G32" s="641"/>
      <c r="H32" s="641"/>
      <c r="I32" s="641"/>
      <c r="J32" s="641"/>
    </row>
    <row r="33" spans="1:10" ht="17">
      <c r="A33" s="2752">
        <f t="shared" si="0"/>
        <v>0</v>
      </c>
      <c r="B33" s="2809">
        <v>7096</v>
      </c>
      <c r="C33" s="1077" t="str">
        <f t="shared" si="1"/>
        <v>支付其他与经营活动有关的现金</v>
      </c>
      <c r="D33" s="1078"/>
      <c r="E33" s="1079">
        <v>2375</v>
      </c>
      <c r="F33" s="1080">
        <f t="shared" si="3"/>
        <v>3432.76</v>
      </c>
      <c r="G33" s="641"/>
      <c r="H33" s="641"/>
      <c r="I33" s="641"/>
      <c r="J33" s="641"/>
    </row>
    <row r="34" spans="1:10" ht="17">
      <c r="A34" s="2752" t="str">
        <f t="shared" si="0"/>
        <v>＝</v>
      </c>
      <c r="B34" s="2809">
        <v>7098</v>
      </c>
      <c r="C34" s="1073" t="str">
        <f t="shared" si="1"/>
        <v>经营活动现金流出小计</v>
      </c>
      <c r="D34" s="1078"/>
      <c r="E34" s="1082">
        <f>SUM(E24:E33)</f>
        <v>2375</v>
      </c>
      <c r="F34" s="1083">
        <f>SUM(F24:F33)</f>
        <v>3432.76</v>
      </c>
      <c r="G34" s="641"/>
      <c r="H34" s="641"/>
      <c r="I34" s="641"/>
      <c r="J34" s="641"/>
    </row>
    <row r="35" spans="1:10" ht="17">
      <c r="A35" s="2752" t="str">
        <f t="shared" si="0"/>
        <v>＝</v>
      </c>
      <c r="B35" s="2809">
        <v>7099</v>
      </c>
      <c r="C35" s="1073" t="str">
        <f t="shared" si="1"/>
        <v>经营活动产生的现金流量净额</v>
      </c>
      <c r="D35" s="1078"/>
      <c r="E35" s="1082">
        <f>SUM(E23,-E34)</f>
        <v>-2324.91</v>
      </c>
      <c r="F35" s="1083">
        <f>SUM(F23,-F34)</f>
        <v>17805.68</v>
      </c>
      <c r="G35" s="641"/>
      <c r="H35" s="641"/>
      <c r="I35" s="641"/>
      <c r="J35" s="641"/>
    </row>
    <row r="36" spans="1:10" ht="17">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7">
      <c r="A37" s="2752">
        <f t="shared" si="0"/>
        <v>0</v>
      </c>
      <c r="B37" s="2809">
        <v>7101</v>
      </c>
      <c r="C37" s="1077" t="str">
        <f t="shared" si="1"/>
        <v>收回投资收到的现金</v>
      </c>
      <c r="D37" s="1078"/>
      <c r="E37" s="1079"/>
      <c r="F37" s="1080">
        <f t="shared" si="4"/>
        <v>0</v>
      </c>
      <c r="G37" s="641"/>
      <c r="H37" s="641"/>
      <c r="I37" s="641"/>
      <c r="J37" s="641"/>
    </row>
    <row r="38" spans="1:10" ht="17">
      <c r="A38" s="2752">
        <f t="shared" si="0"/>
        <v>0</v>
      </c>
      <c r="B38" s="2809">
        <v>7105</v>
      </c>
      <c r="C38" s="1077" t="str">
        <f t="shared" si="1"/>
        <v>取得投资收益收到的现金</v>
      </c>
      <c r="D38" s="1078"/>
      <c r="E38" s="1079"/>
      <c r="F38" s="1080">
        <f t="shared" si="4"/>
        <v>0</v>
      </c>
      <c r="G38" s="641"/>
      <c r="H38" s="641"/>
      <c r="I38" s="641"/>
      <c r="J38" s="641"/>
    </row>
    <row r="39" spans="1:10" ht="17">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7">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7">
      <c r="A41" s="2752">
        <f t="shared" si="0"/>
        <v>0</v>
      </c>
      <c r="B41" s="2809">
        <v>7146</v>
      </c>
      <c r="C41" s="1077" t="str">
        <f t="shared" si="1"/>
        <v>收到其他与投资活动有关的现金</v>
      </c>
      <c r="D41" s="1078"/>
      <c r="E41" s="1079"/>
      <c r="F41" s="1080">
        <f t="shared" si="4"/>
        <v>0</v>
      </c>
      <c r="G41" s="641"/>
      <c r="H41" s="641"/>
      <c r="I41" s="641"/>
      <c r="J41" s="641"/>
    </row>
    <row r="42" spans="1:10" ht="17">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7">
      <c r="A43" s="2752">
        <f t="shared" si="5"/>
        <v>0</v>
      </c>
      <c r="B43" s="2809">
        <v>7151</v>
      </c>
      <c r="C43" s="1077" t="str">
        <f t="shared" si="6"/>
        <v>购建固定资产、无形资产和其他长期资产支付的现金</v>
      </c>
      <c r="D43" s="1078"/>
      <c r="E43" s="1079"/>
      <c r="F43" s="1080">
        <f>IF($B43="","",IF(ISERROR(VLOOKUP($B43,Sheet_Balance1,2,0)),0,VLOOKUP($B43,Sheet_Balance1,2,0)))</f>
        <v>0</v>
      </c>
      <c r="G43" s="641"/>
      <c r="H43" s="641"/>
      <c r="I43" s="641"/>
      <c r="J43" s="641"/>
    </row>
    <row r="44" spans="1:10" ht="17">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7">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7">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7">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7">
      <c r="A48" s="2752" t="str">
        <f t="shared" si="5"/>
        <v>＝</v>
      </c>
      <c r="B48" s="2809">
        <v>7198</v>
      </c>
      <c r="C48" s="1073" t="str">
        <f t="shared" si="6"/>
        <v>投资活动现金流出小计</v>
      </c>
      <c r="D48" s="1078"/>
      <c r="E48" s="1082">
        <f>SUM(E43:E47)</f>
        <v>0</v>
      </c>
      <c r="F48" s="1083">
        <f>SUM(F43:F47)</f>
        <v>0</v>
      </c>
      <c r="G48" s="641"/>
      <c r="H48" s="641"/>
      <c r="I48" s="641"/>
      <c r="J48" s="641"/>
    </row>
    <row r="49" spans="1:10" ht="17">
      <c r="A49" s="2752" t="str">
        <f t="shared" si="5"/>
        <v>＝</v>
      </c>
      <c r="B49" s="2809">
        <v>7199</v>
      </c>
      <c r="C49" s="1073" t="str">
        <f t="shared" si="6"/>
        <v>投资活动产生的现金流量净额</v>
      </c>
      <c r="D49" s="1078"/>
      <c r="E49" s="1082">
        <f>SUM(E42,-E48)</f>
        <v>0</v>
      </c>
      <c r="F49" s="1083">
        <f>SUM(F42,-F48)</f>
        <v>0</v>
      </c>
      <c r="G49" s="641"/>
      <c r="H49" s="641"/>
      <c r="I49" s="641"/>
      <c r="J49" s="641"/>
    </row>
    <row r="50" spans="1:10" ht="17">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7">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7">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7">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7">
      <c r="A54" s="2752">
        <f t="shared" si="5"/>
        <v>0</v>
      </c>
      <c r="B54" s="2809">
        <v>7246</v>
      </c>
      <c r="C54" s="1077" t="str">
        <f t="shared" si="6"/>
        <v>收到其他与筹资活动有关的现金</v>
      </c>
      <c r="D54" s="1078"/>
      <c r="E54" s="1079"/>
      <c r="F54" s="1080">
        <f>IF($B54="","",IF(ISERROR(VLOOKUP($B54,Sheet_Balance1,2,0)),0,VLOOKUP($B54,Sheet_Balance1,2,0)))</f>
        <v>0</v>
      </c>
      <c r="G54" s="641"/>
      <c r="H54" s="641"/>
      <c r="I54" s="641"/>
      <c r="J54" s="641"/>
    </row>
    <row r="55" spans="1:10" ht="17">
      <c r="A55" s="2752" t="str">
        <f t="shared" si="5"/>
        <v>＝</v>
      </c>
      <c r="B55" s="2809">
        <v>7248</v>
      </c>
      <c r="C55" s="1073" t="str">
        <f t="shared" si="6"/>
        <v>筹资活动现金流入小计</v>
      </c>
      <c r="D55" s="1078"/>
      <c r="E55" s="1082">
        <f>SUM(E51,E53:E54)</f>
        <v>0</v>
      </c>
      <c r="F55" s="1083">
        <f>SUM(F51,F53:F54)</f>
        <v>0</v>
      </c>
      <c r="G55" s="641"/>
      <c r="H55" s="641"/>
      <c r="I55" s="641"/>
      <c r="J55" s="641"/>
    </row>
    <row r="56" spans="1:10" ht="17">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7">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7">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7">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7">
      <c r="A60" s="2752" t="str">
        <f t="shared" si="5"/>
        <v>＝</v>
      </c>
      <c r="B60" s="2809">
        <v>7298</v>
      </c>
      <c r="C60" s="1073" t="str">
        <f t="shared" si="6"/>
        <v>筹资活动现金流出小计</v>
      </c>
      <c r="D60" s="1078"/>
      <c r="E60" s="1082">
        <f>SUM(E56:E57,E59)</f>
        <v>0</v>
      </c>
      <c r="F60" s="1083">
        <f>SUM(F56:F57,F59)</f>
        <v>0</v>
      </c>
      <c r="G60" s="641"/>
      <c r="H60" s="641"/>
      <c r="I60" s="641"/>
      <c r="J60" s="641"/>
    </row>
    <row r="61" spans="1:10" ht="17">
      <c r="A61" s="2752" t="str">
        <f t="shared" si="5"/>
        <v>＝</v>
      </c>
      <c r="B61" s="2809">
        <v>7299</v>
      </c>
      <c r="C61" s="1073" t="str">
        <f t="shared" si="6"/>
        <v>筹资活动产生的现金流量净额</v>
      </c>
      <c r="D61" s="1078"/>
      <c r="E61" s="1082">
        <f>SUM(E55,-E60)</f>
        <v>0</v>
      </c>
      <c r="F61" s="1083">
        <f>SUM(F55,-F60)</f>
        <v>0</v>
      </c>
      <c r="G61" s="641"/>
      <c r="H61" s="641"/>
      <c r="I61" s="641"/>
      <c r="J61" s="641"/>
    </row>
    <row r="62" spans="1:10" ht="17">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7">
      <c r="A63" s="2752" t="str">
        <f t="shared" si="5"/>
        <v>＝</v>
      </c>
      <c r="B63" s="2809">
        <v>7348</v>
      </c>
      <c r="C63" s="1073" t="str">
        <f t="shared" si="6"/>
        <v>五、现金及现金等价物净增加额</v>
      </c>
      <c r="D63" s="1078"/>
      <c r="E63" s="1082">
        <f>SUM(E35,E49,E61,E62)</f>
        <v>-2324.91</v>
      </c>
      <c r="F63" s="1083">
        <f>SUM(F35,F49,F61,F62)</f>
        <v>17805.68</v>
      </c>
      <c r="G63" s="641"/>
      <c r="H63" s="641"/>
      <c r="I63" s="641"/>
      <c r="J63" s="641"/>
    </row>
    <row r="64" spans="1:10" ht="17">
      <c r="A64" s="2752">
        <f t="shared" si="5"/>
        <v>0</v>
      </c>
      <c r="B64" s="2809">
        <v>7349</v>
      </c>
      <c r="C64" s="1084" t="str">
        <f t="shared" si="6"/>
        <v>加：期初现金及现金等价物余额</v>
      </c>
      <c r="D64" s="1078"/>
      <c r="E64" s="1079">
        <v>17805.68</v>
      </c>
      <c r="F64" s="1080">
        <f>IF($B64="","",IF(ISERROR(VLOOKUP($B64,Sheet_Balance1,2,0)),0,VLOOKUP($B64,Sheet_Balance1,2,0)))</f>
        <v>0</v>
      </c>
      <c r="G64" s="641"/>
      <c r="H64" s="641"/>
      <c r="I64" s="641"/>
      <c r="J64" s="641"/>
    </row>
    <row r="65" spans="1:10" ht="17">
      <c r="A65" s="2752" t="str">
        <f t="shared" si="5"/>
        <v>＝</v>
      </c>
      <c r="B65" s="2809">
        <v>7399</v>
      </c>
      <c r="C65" s="1086" t="str">
        <f t="shared" si="6"/>
        <v>六、期末现金及现金等价物余额</v>
      </c>
      <c r="D65" s="1087"/>
      <c r="E65" s="1088">
        <f>SUM(E63,E64)</f>
        <v>15480.77</v>
      </c>
      <c r="F65" s="1089">
        <f>SUM(F63,F64)</f>
        <v>17805.68</v>
      </c>
      <c r="G65" s="641"/>
      <c r="H65" s="641"/>
      <c r="I65" s="641"/>
      <c r="J65" s="641"/>
    </row>
    <row r="66" spans="1:10" ht="17">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7">
      <c r="A67" s="2830"/>
      <c r="C67" s="641"/>
      <c r="D67" s="641"/>
      <c r="E67" s="3053">
        <f>E65-preBS!F10</f>
        <v>0</v>
      </c>
      <c r="F67" s="641"/>
      <c r="G67" s="641"/>
      <c r="H67" s="641"/>
      <c r="I67" s="641"/>
      <c r="J67" s="641"/>
    </row>
    <row r="68" spans="1:10" ht="17">
      <c r="A68" s="2830"/>
      <c r="C68" s="1090" t="s">
        <v>2585</v>
      </c>
      <c r="D68" s="641"/>
      <c r="E68" s="1091" t="s">
        <v>2586</v>
      </c>
      <c r="F68" s="1092"/>
      <c r="G68" s="641"/>
      <c r="H68" s="641"/>
      <c r="I68" s="641"/>
      <c r="J68" s="641"/>
    </row>
    <row r="69" spans="1:10" ht="17">
      <c r="A69" s="2752"/>
      <c r="B69" s="2749"/>
      <c r="C69" s="1093" t="s">
        <v>918</v>
      </c>
      <c r="D69" s="1094"/>
      <c r="E69" s="1095" t="s">
        <v>2587</v>
      </c>
      <c r="F69" s="1096" t="s">
        <v>2588</v>
      </c>
      <c r="G69" s="709"/>
      <c r="H69" s="709"/>
      <c r="I69" s="709"/>
      <c r="J69" s="641"/>
    </row>
    <row r="70" spans="1:10" ht="17">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7">
      <c r="A71" s="2830">
        <f t="shared" si="7"/>
        <v>0</v>
      </c>
      <c r="B71" s="2809">
        <v>7502</v>
      </c>
      <c r="C71" s="1101" t="str">
        <f t="shared" si="8"/>
        <v>净利润</v>
      </c>
      <c r="D71" s="1098"/>
      <c r="E71" s="1099">
        <f>VLOOKUP(6799,Sheet_Trialbal,3,0)</f>
        <v>-2324.91</v>
      </c>
      <c r="F71" s="1100">
        <f>VLOOKUP(6799,Sheet_Trialbal,7,0)</f>
        <v>-1714.32</v>
      </c>
      <c r="G71" s="709"/>
      <c r="H71" s="709"/>
      <c r="I71" s="709"/>
      <c r="J71" s="641"/>
    </row>
    <row r="72" spans="1:10" ht="17">
      <c r="A72" s="2830">
        <f t="shared" si="7"/>
        <v>0</v>
      </c>
      <c r="B72" s="2809">
        <v>7503</v>
      </c>
      <c r="C72" s="1101" t="str">
        <f>VLOOKUP($B72,Sheet_Items,6,0)</f>
        <v>加：资产减值准备</v>
      </c>
      <c r="D72" s="1098"/>
      <c r="E72" s="1099"/>
      <c r="F72" s="1100">
        <f t="shared" ref="F72:F87" si="9">IF($B72="","",IF(ISERROR(VLOOKUP($B72,Sheet_Balance1,2,0)),0,VLOOKUP($B72,Sheet_Balance1,2,0)))</f>
        <v>0</v>
      </c>
      <c r="G72" s="709"/>
      <c r="H72" s="709"/>
      <c r="I72" s="709"/>
      <c r="J72" s="641"/>
    </row>
    <row r="73" spans="1:10" ht="17">
      <c r="A73" s="2830" t="str">
        <f>VLOOKUP($B73,Sheet_Items,4,0)</f>
        <v>_JR</v>
      </c>
      <c r="B73" s="2809">
        <v>7504</v>
      </c>
      <c r="C73" s="1102" t="str">
        <f>VLOOKUP($B73,Sheet_Items,6,0)</f>
        <v>信用减值损失</v>
      </c>
      <c r="D73" s="1098"/>
      <c r="E73" s="1099"/>
      <c r="F73" s="1100">
        <f t="shared" si="9"/>
        <v>0</v>
      </c>
      <c r="G73" s="709"/>
      <c r="H73" s="709"/>
      <c r="I73" s="709"/>
      <c r="J73" s="641"/>
    </row>
    <row r="74" spans="1:10" ht="26">
      <c r="A74" s="2830">
        <f t="shared" si="7"/>
        <v>0</v>
      </c>
      <c r="B74" s="2809">
        <v>7505</v>
      </c>
      <c r="C74" s="1656" t="str">
        <f t="shared" si="8"/>
        <v>固定资产折旧、投资性房地产折旧、油气资产折耗、生产性生物资产折旧</v>
      </c>
      <c r="D74" s="1098"/>
      <c r="E74" s="1099"/>
      <c r="F74" s="1100">
        <f t="shared" si="9"/>
        <v>0</v>
      </c>
      <c r="G74" s="709"/>
      <c r="H74" s="709"/>
      <c r="I74" s="709"/>
      <c r="J74" s="641"/>
    </row>
    <row r="75" spans="1:10" ht="17">
      <c r="A75" s="2830">
        <f t="shared" si="7"/>
        <v>0</v>
      </c>
      <c r="B75" s="2809">
        <v>7506</v>
      </c>
      <c r="C75" s="1656" t="str">
        <f t="shared" si="8"/>
        <v>无形资产摊销</v>
      </c>
      <c r="D75" s="1098"/>
      <c r="E75" s="1099"/>
      <c r="F75" s="1100">
        <f t="shared" si="9"/>
        <v>0</v>
      </c>
      <c r="G75" s="709"/>
      <c r="H75" s="709"/>
      <c r="I75" s="709"/>
      <c r="J75" s="641"/>
    </row>
    <row r="76" spans="1:10" ht="17">
      <c r="A76" s="2830">
        <f t="shared" si="7"/>
        <v>0</v>
      </c>
      <c r="B76" s="2809">
        <v>7507</v>
      </c>
      <c r="C76" s="1656" t="str">
        <f t="shared" si="8"/>
        <v>长期待摊费用摊销</v>
      </c>
      <c r="D76" s="1098"/>
      <c r="E76" s="1099"/>
      <c r="F76" s="1100">
        <f t="shared" si="9"/>
        <v>0</v>
      </c>
      <c r="G76" s="709"/>
      <c r="H76" s="709"/>
      <c r="I76" s="709"/>
      <c r="J76" s="641"/>
    </row>
    <row r="77" spans="1:10" ht="26">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7">
      <c r="A78" s="2830">
        <f t="shared" si="7"/>
        <v>0</v>
      </c>
      <c r="B78" s="2809">
        <v>7509</v>
      </c>
      <c r="C78" s="1656" t="str">
        <f t="shared" si="8"/>
        <v>固定资产报废损失（收益以“－”号填列）</v>
      </c>
      <c r="D78" s="1098"/>
      <c r="E78" s="1099"/>
      <c r="F78" s="1100">
        <f t="shared" si="9"/>
        <v>0</v>
      </c>
      <c r="G78" s="709"/>
      <c r="H78" s="709"/>
      <c r="I78" s="709"/>
      <c r="J78" s="641"/>
    </row>
    <row r="79" spans="1:10" ht="17">
      <c r="A79" s="2830">
        <f t="shared" si="7"/>
        <v>0</v>
      </c>
      <c r="B79" s="2809">
        <v>7510</v>
      </c>
      <c r="C79" s="1656" t="str">
        <f t="shared" si="8"/>
        <v>公允价值变动损失（收益以“－”号填列）</v>
      </c>
      <c r="D79" s="1098"/>
      <c r="E79" s="1099"/>
      <c r="F79" s="1100">
        <f t="shared" si="9"/>
        <v>0</v>
      </c>
      <c r="G79" s="709"/>
      <c r="H79" s="709"/>
      <c r="I79" s="709"/>
      <c r="J79" s="641"/>
    </row>
    <row r="80" spans="1:10" ht="17">
      <c r="A80" s="2830">
        <f t="shared" si="7"/>
        <v>0</v>
      </c>
      <c r="B80" s="2809">
        <v>7511</v>
      </c>
      <c r="C80" s="1656" t="str">
        <f t="shared" si="8"/>
        <v>财务费用（收益以“－”号填列）</v>
      </c>
      <c r="D80" s="1098"/>
      <c r="E80" s="1099"/>
      <c r="F80" s="1100">
        <f t="shared" si="9"/>
        <v>0</v>
      </c>
      <c r="G80" s="709"/>
      <c r="H80" s="709"/>
      <c r="I80" s="709"/>
      <c r="J80" s="641"/>
    </row>
    <row r="81" spans="1:12" ht="17">
      <c r="A81" s="2830">
        <f t="shared" si="7"/>
        <v>0</v>
      </c>
      <c r="B81" s="2809">
        <v>7512</v>
      </c>
      <c r="C81" s="1656" t="str">
        <f t="shared" si="8"/>
        <v>投资损失（收益以“－”号填列）</v>
      </c>
      <c r="D81" s="1098"/>
      <c r="E81" s="1099"/>
      <c r="F81" s="1100">
        <f t="shared" si="9"/>
        <v>0</v>
      </c>
      <c r="G81" s="709"/>
      <c r="H81" s="709"/>
      <c r="I81" s="709"/>
      <c r="J81" s="641"/>
    </row>
    <row r="82" spans="1:12" ht="17">
      <c r="A82" s="2830">
        <f t="shared" si="7"/>
        <v>0</v>
      </c>
      <c r="B82" s="2809">
        <v>7515</v>
      </c>
      <c r="C82" s="1656" t="str">
        <f t="shared" si="8"/>
        <v>递延所得税资产减少（增加以“－”号填列）</v>
      </c>
      <c r="D82" s="1098"/>
      <c r="E82" s="1099"/>
      <c r="F82" s="1100">
        <f t="shared" si="9"/>
        <v>0</v>
      </c>
      <c r="G82" s="709"/>
      <c r="H82" s="709"/>
      <c r="I82" s="709"/>
      <c r="J82" s="641"/>
    </row>
    <row r="83" spans="1:12" ht="17">
      <c r="A83" s="2830">
        <f t="shared" si="7"/>
        <v>0</v>
      </c>
      <c r="B83" s="2809">
        <v>7516</v>
      </c>
      <c r="C83" s="1656" t="str">
        <f t="shared" si="8"/>
        <v>递延所得税负债增加（减少以“－”号填列）</v>
      </c>
      <c r="D83" s="1098"/>
      <c r="E83" s="1099"/>
      <c r="F83" s="1100">
        <f t="shared" si="9"/>
        <v>0</v>
      </c>
      <c r="G83" s="709"/>
      <c r="H83" s="709"/>
      <c r="I83" s="709"/>
      <c r="J83" s="641"/>
    </row>
    <row r="84" spans="1:12" ht="17">
      <c r="A84" s="2830">
        <f t="shared" si="7"/>
        <v>0</v>
      </c>
      <c r="B84" s="2809">
        <v>7517</v>
      </c>
      <c r="C84" s="1656" t="str">
        <f t="shared" si="8"/>
        <v>存货的减少（增加以“－”号填列）</v>
      </c>
      <c r="D84" s="1098"/>
      <c r="E84" s="1099"/>
      <c r="F84" s="1100">
        <f t="shared" si="9"/>
        <v>0</v>
      </c>
      <c r="G84" s="709"/>
      <c r="H84" s="709"/>
      <c r="I84" s="709"/>
      <c r="J84" s="641"/>
    </row>
    <row r="85" spans="1:12" ht="17">
      <c r="A85" s="2830">
        <f t="shared" si="7"/>
        <v>0</v>
      </c>
      <c r="B85" s="2809">
        <v>7518</v>
      </c>
      <c r="C85" s="1656" t="str">
        <f t="shared" si="8"/>
        <v>经营性应收项目的减少（增加以“－”号填列）</v>
      </c>
      <c r="D85" s="1098"/>
      <c r="E85" s="1099"/>
      <c r="F85" s="1100">
        <f t="shared" si="9"/>
        <v>0</v>
      </c>
      <c r="G85" s="709"/>
      <c r="H85" s="709"/>
      <c r="I85" s="709"/>
      <c r="J85" s="641"/>
    </row>
    <row r="86" spans="1:12" ht="17">
      <c r="A86" s="2830">
        <f t="shared" si="7"/>
        <v>0</v>
      </c>
      <c r="B86" s="2809">
        <v>7519</v>
      </c>
      <c r="C86" s="1656" t="str">
        <f t="shared" si="8"/>
        <v>经营性应付项目的增加（减少以“－”号填列）</v>
      </c>
      <c r="D86" s="1098"/>
      <c r="E86" s="1099"/>
      <c r="F86" s="1100">
        <f t="shared" si="9"/>
        <v>19520</v>
      </c>
      <c r="G86" s="709"/>
      <c r="H86" s="709"/>
      <c r="I86" s="709"/>
      <c r="J86" s="641"/>
    </row>
    <row r="87" spans="1:12" ht="17">
      <c r="A87" s="2830">
        <f t="shared" si="7"/>
        <v>0</v>
      </c>
      <c r="B87" s="2809">
        <v>7523</v>
      </c>
      <c r="C87" s="1656" t="str">
        <f t="shared" si="8"/>
        <v>其他</v>
      </c>
      <c r="D87" s="1098"/>
      <c r="E87" s="1099"/>
      <c r="F87" s="1100">
        <f t="shared" si="9"/>
        <v>0</v>
      </c>
      <c r="G87" s="709"/>
      <c r="H87" s="709"/>
      <c r="I87" s="709"/>
      <c r="J87" s="641"/>
    </row>
    <row r="88" spans="1:12" ht="17">
      <c r="A88" s="2830" t="str">
        <f t="shared" si="7"/>
        <v>＝</v>
      </c>
      <c r="B88" s="2809">
        <v>7525</v>
      </c>
      <c r="C88" s="1103" t="str">
        <f t="shared" si="8"/>
        <v>经营活动产生的现金流量净额</v>
      </c>
      <c r="D88" s="1098"/>
      <c r="E88" s="1104">
        <f>SUM(E71:E87)</f>
        <v>-2324.91</v>
      </c>
      <c r="F88" s="1105">
        <f>SUM(F71:F87)</f>
        <v>17805.68</v>
      </c>
      <c r="G88" s="709"/>
      <c r="H88" s="709"/>
      <c r="I88" s="709"/>
      <c r="J88" s="641"/>
    </row>
    <row r="89" spans="1:12" ht="17">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7">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7">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7">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7">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7">
      <c r="A94" s="2830">
        <f t="shared" si="7"/>
        <v>0</v>
      </c>
      <c r="B94" s="2809">
        <v>7535</v>
      </c>
      <c r="C94" s="1101" t="str">
        <f t="shared" si="8"/>
        <v>现金的期末余额</v>
      </c>
      <c r="D94" s="1098"/>
      <c r="E94" s="1099">
        <f>VLOOKUP(1015,Sheet_Trialbal,3,0)</f>
        <v>15480.77</v>
      </c>
      <c r="F94" s="1100">
        <f>VLOOKUP(1015,Sheet_Trialbal,7,0)</f>
        <v>17805.68</v>
      </c>
      <c r="G94" s="709"/>
      <c r="H94" s="1106" t="s">
        <v>2589</v>
      </c>
      <c r="I94" s="1127"/>
      <c r="J94" s="1092"/>
      <c r="K94" s="1128"/>
      <c r="L94" s="1128"/>
    </row>
    <row r="95" spans="1:12" ht="17">
      <c r="A95" s="2830">
        <f t="shared" si="7"/>
        <v>0</v>
      </c>
      <c r="B95" s="2809">
        <v>7536</v>
      </c>
      <c r="C95" s="1101" t="str">
        <f t="shared" si="8"/>
        <v>减：现金的年初余额</v>
      </c>
      <c r="D95" s="1098"/>
      <c r="E95" s="1099">
        <f>VLOOKUP(1015,Sheet_Trialbal,7,0)</f>
        <v>17805.68</v>
      </c>
      <c r="F95" s="1100">
        <f>IF($B95="","",IF(ISERROR(VLOOKUP($B95,Sheet_Balance1,2,0)),0,VLOOKUP($B95,Sheet_Balance1,2,0)))</f>
        <v>0</v>
      </c>
      <c r="G95" s="709"/>
      <c r="H95" s="1106" t="s">
        <v>2589</v>
      </c>
      <c r="I95" s="1127"/>
      <c r="J95" s="1092"/>
      <c r="K95" s="1128"/>
      <c r="L95" s="1128"/>
    </row>
    <row r="96" spans="1:12" ht="17">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7">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7">
      <c r="A98" s="2830" t="str">
        <f t="shared" si="7"/>
        <v>＝</v>
      </c>
      <c r="B98" s="2809">
        <v>7539</v>
      </c>
      <c r="C98" s="1107" t="str">
        <f t="shared" si="8"/>
        <v>现金及现金等价物净增加额</v>
      </c>
      <c r="D98" s="1108"/>
      <c r="E98" s="1109">
        <f>SUM(E94,-E95,E96,-E97)</f>
        <v>-2324.91</v>
      </c>
      <c r="F98" s="1110">
        <f>SUM(F94,-F95,F96,-F97)</f>
        <v>17805.68</v>
      </c>
      <c r="G98" s="709"/>
      <c r="H98" s="709"/>
      <c r="I98" s="709"/>
      <c r="J98" s="641"/>
    </row>
    <row r="99" spans="1:10" ht="17">
      <c r="A99" s="2830"/>
      <c r="B99" s="2831"/>
      <c r="C99" s="1048"/>
      <c r="D99" s="641"/>
      <c r="E99" s="641"/>
      <c r="F99" s="641"/>
      <c r="G99" s="709"/>
      <c r="H99" s="709"/>
      <c r="I99" s="709"/>
      <c r="J99" s="641"/>
    </row>
    <row r="100" spans="1:10" ht="17">
      <c r="A100" s="2830"/>
      <c r="B100" s="2831"/>
      <c r="C100" s="1111" t="s">
        <v>2566</v>
      </c>
      <c r="D100" s="1112"/>
      <c r="E100" s="1113"/>
      <c r="F100" s="1114"/>
      <c r="G100" s="1115"/>
      <c r="H100" s="1115"/>
      <c r="I100" s="709"/>
      <c r="J100" s="641"/>
    </row>
    <row r="101" spans="1:10" ht="17">
      <c r="A101" s="2830"/>
      <c r="B101" s="2831"/>
      <c r="C101" s="937" t="s">
        <v>47</v>
      </c>
      <c r="D101" s="1116"/>
      <c r="E101" s="1117" t="s">
        <v>2577</v>
      </c>
      <c r="F101" s="1118" t="s">
        <v>2578</v>
      </c>
      <c r="G101" s="1115"/>
      <c r="H101" s="1115"/>
      <c r="I101" s="709"/>
      <c r="J101" s="641"/>
    </row>
    <row r="102" spans="1:10" ht="17">
      <c r="A102" s="2830"/>
      <c r="B102" s="2831"/>
      <c r="C102" s="1119" t="s">
        <v>2571</v>
      </c>
      <c r="D102" s="1120"/>
      <c r="E102" s="1121"/>
      <c r="F102" s="1054"/>
      <c r="G102" s="709"/>
      <c r="H102" s="709"/>
      <c r="I102" s="709"/>
      <c r="J102" s="641"/>
    </row>
    <row r="103" spans="1:10" ht="17">
      <c r="A103" s="2830"/>
      <c r="B103" s="2831"/>
      <c r="C103" s="1122" t="str">
        <f>C64&amp;" | "&amp;E101</f>
        <v>加：期初现金及现金等价物余额 | 本期金额</v>
      </c>
      <c r="D103" s="1120" t="s">
        <v>578</v>
      </c>
      <c r="E103" s="1028">
        <f>E64</f>
        <v>17805.68</v>
      </c>
      <c r="F103" s="1055"/>
      <c r="G103" s="709"/>
      <c r="H103" s="709"/>
      <c r="I103" s="709"/>
      <c r="J103" s="641"/>
    </row>
    <row r="104" spans="1:10" ht="17">
      <c r="A104" s="2830"/>
      <c r="B104" s="2831"/>
      <c r="C104" s="1122" t="str">
        <f>C65&amp;" | "&amp;F101</f>
        <v>六、期末现金及现金等价物余额 | 上期金额</v>
      </c>
      <c r="D104" s="1120" t="s">
        <v>578</v>
      </c>
      <c r="E104" s="1028">
        <f>F65</f>
        <v>17805.68</v>
      </c>
      <c r="F104" s="1055"/>
      <c r="G104" s="709"/>
      <c r="H104" s="709"/>
      <c r="I104" s="709"/>
      <c r="J104" s="641"/>
    </row>
    <row r="105" spans="1:10" ht="17">
      <c r="A105" s="2830"/>
      <c r="B105" s="2831"/>
      <c r="C105" s="942" t="s">
        <v>2580</v>
      </c>
      <c r="D105" s="1120"/>
      <c r="E105" s="1032">
        <f>IF($F$68="方案B",0,ROUND(E103-E104,2))</f>
        <v>0</v>
      </c>
      <c r="F105" s="1056"/>
      <c r="G105" s="709"/>
      <c r="H105" s="709"/>
      <c r="I105" s="709"/>
      <c r="J105" s="641"/>
    </row>
    <row r="106" spans="1:10" ht="17">
      <c r="A106" s="2830"/>
      <c r="B106" s="2831"/>
      <c r="C106" s="1123"/>
      <c r="D106" s="1120"/>
      <c r="E106" s="1033" t="str">
        <f>IF(E105=0,"√","×")</f>
        <v>√</v>
      </c>
      <c r="F106" s="1057"/>
      <c r="G106" s="709"/>
      <c r="H106" s="709"/>
      <c r="I106" s="709"/>
      <c r="J106" s="641"/>
    </row>
    <row r="107" spans="1:10" ht="17">
      <c r="A107" s="2830"/>
      <c r="B107" s="2831"/>
      <c r="C107" s="1124" t="s">
        <v>2590</v>
      </c>
      <c r="D107" s="1120"/>
      <c r="E107" s="1121"/>
      <c r="F107" s="1054"/>
      <c r="G107" s="709"/>
      <c r="H107" s="709"/>
      <c r="I107" s="709"/>
      <c r="J107" s="641"/>
    </row>
    <row r="108" spans="1:10" ht="17">
      <c r="A108" s="2830"/>
      <c r="B108" s="2831"/>
      <c r="C108" s="1125" t="str">
        <f>C71</f>
        <v>净利润</v>
      </c>
      <c r="D108" s="1120" t="s">
        <v>578</v>
      </c>
      <c r="E108" s="1028">
        <f>E71</f>
        <v>-2324.91</v>
      </c>
      <c r="F108" s="1055">
        <f>F71</f>
        <v>-1714.32</v>
      </c>
      <c r="G108" s="709"/>
      <c r="H108" s="709"/>
      <c r="I108" s="709"/>
      <c r="J108" s="641"/>
    </row>
    <row r="109" spans="1:10" ht="17">
      <c r="A109" s="2830"/>
      <c r="B109" s="2831">
        <v>6799</v>
      </c>
      <c r="C109" s="1122" t="str">
        <f>VLOOKUP($B109,Sheet_Items,2,0)</f>
        <v>净利润</v>
      </c>
      <c r="D109" s="1120" t="s">
        <v>441</v>
      </c>
      <c r="E109" s="1028">
        <f>preIS!E45</f>
        <v>-2324.91</v>
      </c>
      <c r="F109" s="1055">
        <f>preIS!F45</f>
        <v>-1714.32</v>
      </c>
      <c r="G109" s="709"/>
      <c r="H109" s="709"/>
      <c r="I109" s="709"/>
      <c r="J109" s="641"/>
    </row>
    <row r="110" spans="1:10" ht="17">
      <c r="A110" s="2830"/>
      <c r="B110" s="2831"/>
      <c r="C110" s="942" t="s">
        <v>2580</v>
      </c>
      <c r="D110" s="1120"/>
      <c r="E110" s="1032">
        <f>IF($F$68="方案B",0,ROUND(E108-E109,2))</f>
        <v>0</v>
      </c>
      <c r="F110" s="1056">
        <f>IF($F$68="方案B",0,ROUND(F108-F109,2))</f>
        <v>0</v>
      </c>
      <c r="G110" s="709"/>
      <c r="H110" s="709"/>
      <c r="I110" s="709"/>
      <c r="J110" s="641"/>
    </row>
    <row r="111" spans="1:10" ht="17">
      <c r="A111" s="2830"/>
      <c r="B111" s="2831"/>
      <c r="C111" s="1123"/>
      <c r="D111" s="1120"/>
      <c r="E111" s="1033" t="str">
        <f>IF(E110=0,"√","×")</f>
        <v>√</v>
      </c>
      <c r="F111" s="1057" t="str">
        <f>IF(F110=0,"√","×")</f>
        <v>√</v>
      </c>
      <c r="G111" s="709"/>
      <c r="H111" s="709"/>
      <c r="I111" s="709"/>
      <c r="J111" s="641"/>
    </row>
    <row r="112" spans="1:10" ht="17">
      <c r="A112" s="2830"/>
      <c r="B112" s="2831"/>
      <c r="C112" s="1124" t="s">
        <v>2591</v>
      </c>
      <c r="D112" s="1120"/>
      <c r="E112" s="1121"/>
      <c r="F112" s="1054"/>
      <c r="G112" s="709"/>
      <c r="H112" s="709"/>
      <c r="I112" s="709"/>
      <c r="J112" s="641"/>
    </row>
    <row r="113" spans="1:10" ht="17">
      <c r="A113" s="2830"/>
      <c r="B113" s="2831"/>
      <c r="C113" s="1125" t="str">
        <f>C88&amp;"（补充资料）"</f>
        <v>经营活动产生的现金流量净额（补充资料）</v>
      </c>
      <c r="D113" s="1120" t="s">
        <v>578</v>
      </c>
      <c r="E113" s="1028">
        <f>E88</f>
        <v>-2324.91</v>
      </c>
      <c r="F113" s="1055">
        <f>F88</f>
        <v>17805.68</v>
      </c>
      <c r="G113" s="709"/>
      <c r="H113" s="709"/>
      <c r="I113" s="709"/>
      <c r="J113" s="641"/>
    </row>
    <row r="114" spans="1:10" ht="17">
      <c r="A114" s="2830"/>
      <c r="B114" s="2831">
        <v>7099</v>
      </c>
      <c r="C114" s="1122" t="str">
        <f>C35&amp;"（主表）"</f>
        <v>经营活动产生的现金流量净额（主表）</v>
      </c>
      <c r="D114" s="1120" t="s">
        <v>578</v>
      </c>
      <c r="E114" s="1028">
        <f>E35</f>
        <v>-2324.91</v>
      </c>
      <c r="F114" s="1055">
        <f>F35</f>
        <v>17805.68</v>
      </c>
      <c r="G114" s="709"/>
      <c r="H114" s="709"/>
      <c r="I114" s="709"/>
      <c r="J114" s="641"/>
    </row>
    <row r="115" spans="1:10" ht="17">
      <c r="A115" s="2830"/>
      <c r="B115" s="2831"/>
      <c r="C115" s="942" t="s">
        <v>2580</v>
      </c>
      <c r="D115" s="1120"/>
      <c r="E115" s="1032">
        <f>IF($F$68="方案B",0,ROUND(E113-E114,2))</f>
        <v>0</v>
      </c>
      <c r="F115" s="1056">
        <f>IF($F$68="方案B",0,ROUND(F113-F114,2))</f>
        <v>0</v>
      </c>
      <c r="G115" s="709"/>
      <c r="H115" s="709"/>
      <c r="I115" s="709"/>
      <c r="J115" s="641"/>
    </row>
    <row r="116" spans="1:10" ht="17">
      <c r="A116" s="2830"/>
      <c r="B116" s="2831"/>
      <c r="C116" s="1126"/>
      <c r="D116" s="1120"/>
      <c r="E116" s="1033" t="str">
        <f>IF(E115=0,"√","×")</f>
        <v>√</v>
      </c>
      <c r="F116" s="1057" t="str">
        <f>IF(F115=0,"√","×")</f>
        <v>√</v>
      </c>
      <c r="G116" s="709"/>
      <c r="H116" s="709"/>
      <c r="I116" s="709"/>
      <c r="J116" s="641"/>
    </row>
    <row r="117" spans="1:10" ht="17">
      <c r="A117" s="2830"/>
      <c r="B117" s="2831"/>
      <c r="C117" s="1125" t="str">
        <f>C94&amp;" "&amp;C96</f>
        <v>现金的期末余额 加：现金等价物的期末余额</v>
      </c>
      <c r="D117" s="1120" t="s">
        <v>578</v>
      </c>
      <c r="E117" s="1028">
        <f>SUM(E94,E96)</f>
        <v>15480.77</v>
      </c>
      <c r="F117" s="1055">
        <f>SUM(F94,F96)</f>
        <v>17805.68</v>
      </c>
      <c r="G117" s="709"/>
      <c r="H117" s="709"/>
      <c r="I117" s="709"/>
      <c r="J117" s="641"/>
    </row>
    <row r="118" spans="1:10" ht="17">
      <c r="A118" s="2830"/>
      <c r="B118" s="2831">
        <v>7399</v>
      </c>
      <c r="C118" s="1122" t="str">
        <f>C65&amp;"（主表）"</f>
        <v>六、期末现金及现金等价物余额（主表）</v>
      </c>
      <c r="D118" s="1120" t="s">
        <v>578</v>
      </c>
      <c r="E118" s="1028">
        <f>E65</f>
        <v>15480.77</v>
      </c>
      <c r="F118" s="1055">
        <f>F65</f>
        <v>17805.68</v>
      </c>
      <c r="G118" s="709"/>
      <c r="H118" s="709"/>
      <c r="I118" s="709"/>
      <c r="J118" s="641"/>
    </row>
    <row r="119" spans="1:10" ht="17">
      <c r="A119" s="2830"/>
      <c r="B119" s="2831"/>
      <c r="C119" s="942" t="s">
        <v>2580</v>
      </c>
      <c r="D119" s="1120"/>
      <c r="E119" s="1032">
        <f>IF($F$68="方案B",0,ROUND(E117-E118,2))</f>
        <v>0</v>
      </c>
      <c r="F119" s="1056">
        <f>IF($F$68="方案B",0,ROUND(F117-F118,2))</f>
        <v>0</v>
      </c>
      <c r="G119" s="709"/>
      <c r="H119" s="709"/>
      <c r="I119" s="709"/>
      <c r="J119" s="641"/>
    </row>
    <row r="120" spans="1:10" ht="17">
      <c r="A120" s="2830"/>
      <c r="B120" s="2831"/>
      <c r="C120" s="1126"/>
      <c r="D120" s="1120"/>
      <c r="E120" s="1033" t="str">
        <f>IF(E119=0,"√","×")</f>
        <v>√</v>
      </c>
      <c r="F120" s="1057" t="str">
        <f>IF(F119=0,"√","×")</f>
        <v>√</v>
      </c>
      <c r="G120" s="709"/>
      <c r="H120" s="709"/>
      <c r="I120" s="709"/>
      <c r="J120" s="641"/>
    </row>
    <row r="121" spans="1:10" ht="17">
      <c r="A121" s="2830"/>
      <c r="B121" s="2831"/>
      <c r="C121" s="1125" t="str">
        <f>C95&amp;" "&amp;C97</f>
        <v>减：现金的年初余额 减：现金等价物的年初余额</v>
      </c>
      <c r="D121" s="1120" t="s">
        <v>578</v>
      </c>
      <c r="E121" s="1028">
        <f>SUM(E95,E97)</f>
        <v>17805.68</v>
      </c>
      <c r="F121" s="1055">
        <f>SUM(F95,F97)</f>
        <v>0</v>
      </c>
      <c r="G121" s="709"/>
      <c r="H121" s="709"/>
      <c r="I121" s="709"/>
      <c r="J121" s="641"/>
    </row>
    <row r="122" spans="1:10" ht="17">
      <c r="A122" s="2830"/>
      <c r="B122" s="2831">
        <v>7349</v>
      </c>
      <c r="C122" s="1122" t="str">
        <f>C64&amp;"（主表）"</f>
        <v>加：期初现金及现金等价物余额（主表）</v>
      </c>
      <c r="D122" s="1120" t="s">
        <v>578</v>
      </c>
      <c r="E122" s="1028">
        <f>E64</f>
        <v>17805.68</v>
      </c>
      <c r="F122" s="1055">
        <f>F64</f>
        <v>0</v>
      </c>
      <c r="G122" s="709"/>
      <c r="H122" s="709"/>
      <c r="I122" s="709"/>
      <c r="J122" s="641"/>
    </row>
    <row r="123" spans="1:10" ht="17">
      <c r="A123" s="2830"/>
      <c r="B123" s="2831"/>
      <c r="C123" s="942" t="s">
        <v>2580</v>
      </c>
      <c r="D123" s="1120"/>
      <c r="E123" s="1032">
        <f>IF($F$68="方案B",0,ROUND(E121-E122,2))</f>
        <v>0</v>
      </c>
      <c r="F123" s="1056">
        <f>IF($F$68="方案B",0,ROUND(F121-F122,2))</f>
        <v>0</v>
      </c>
      <c r="G123" s="709"/>
      <c r="H123" s="709"/>
      <c r="I123" s="709"/>
      <c r="J123" s="641"/>
    </row>
    <row r="124" spans="1:10" ht="17">
      <c r="A124" s="2830"/>
      <c r="B124" s="2831"/>
      <c r="C124" s="1126"/>
      <c r="D124" s="1120"/>
      <c r="E124" s="1033" t="str">
        <f>IF(E123=0,"√","×")</f>
        <v>√</v>
      </c>
      <c r="F124" s="1057" t="str">
        <f>IF(F123=0,"√","×")</f>
        <v>√</v>
      </c>
      <c r="G124" s="709"/>
      <c r="H124" s="709"/>
      <c r="I124" s="709"/>
      <c r="J124" s="641"/>
    </row>
    <row r="125" spans="1:10" ht="17">
      <c r="A125" s="2830"/>
      <c r="B125" s="2831"/>
      <c r="C125" s="1125" t="str">
        <f>C98&amp;"（补充资料）"</f>
        <v>现金及现金等价物净增加额（补充资料）</v>
      </c>
      <c r="D125" s="1120" t="s">
        <v>578</v>
      </c>
      <c r="E125" s="1028">
        <f>E98</f>
        <v>-2324.91</v>
      </c>
      <c r="F125" s="1055">
        <f>F98</f>
        <v>17805.68</v>
      </c>
      <c r="G125" s="709"/>
      <c r="H125" s="709"/>
      <c r="I125" s="709"/>
      <c r="J125" s="641"/>
    </row>
    <row r="126" spans="1:10" ht="17">
      <c r="A126" s="2830"/>
      <c r="B126" s="2831">
        <v>7348</v>
      </c>
      <c r="C126" s="1122" t="str">
        <f>C63&amp;"（主表）"</f>
        <v>五、现金及现金等价物净增加额（主表）</v>
      </c>
      <c r="D126" s="1120" t="s">
        <v>578</v>
      </c>
      <c r="E126" s="1028">
        <f>E63</f>
        <v>-2324.91</v>
      </c>
      <c r="F126" s="1055">
        <f>F63</f>
        <v>17805.68</v>
      </c>
      <c r="G126" s="709"/>
      <c r="H126" s="709"/>
      <c r="I126" s="709"/>
      <c r="J126" s="641"/>
    </row>
    <row r="127" spans="1:10" ht="17">
      <c r="A127" s="2830"/>
      <c r="B127" s="2831"/>
      <c r="C127" s="942" t="s">
        <v>2580</v>
      </c>
      <c r="D127" s="1120"/>
      <c r="E127" s="1032">
        <f>IF($F$68="方案B",0,ROUND(E125-E126,2))</f>
        <v>0</v>
      </c>
      <c r="F127" s="1056">
        <f>IF($F$68="方案B",0,ROUND(F125-F126,2))</f>
        <v>0</v>
      </c>
      <c r="G127" s="709"/>
      <c r="H127" s="709"/>
      <c r="I127" s="709"/>
      <c r="J127" s="641"/>
    </row>
    <row r="128" spans="1:10" ht="17">
      <c r="A128" s="2830"/>
      <c r="B128" s="2831"/>
      <c r="C128" s="1126"/>
      <c r="D128" s="1120"/>
      <c r="E128" s="1033" t="str">
        <f>IF(E127=0,"√","×")</f>
        <v>√</v>
      </c>
      <c r="F128" s="1057" t="str">
        <f>IF(F127=0,"√","×")</f>
        <v>√</v>
      </c>
      <c r="G128" s="709"/>
      <c r="H128" s="709"/>
      <c r="I128" s="709"/>
      <c r="J128" s="641"/>
    </row>
    <row r="129" spans="1:10" ht="17">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7">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U3xV9zEXDIdJkKcYK4rJtgVeshHda0+U2DwP/PCQIdyvuHxtMUkJ7CZG4HhdPg1F3zoHlnJ7TGU/lw0aCGVCAw==" saltValue="B4dIOK9LUZpNH37IvKzYYw==" spinCount="100000" sheet="1" scenarios="1" formatCells="0" autoFilter="0"/>
  <phoneticPr fontId="163" type="noConversion"/>
  <conditionalFormatting sqref="H2">
    <cfRule type="expression" dxfId="4083" priority="6" stopIfTrue="1">
      <formula>$H$2&lt;&gt;""</formula>
    </cfRule>
  </conditionalFormatting>
  <conditionalFormatting sqref="C9:F64">
    <cfRule type="expression" dxfId="4082" priority="1" stopIfTrue="1">
      <formula>AND($A9&lt;&gt;"＝",MOD(ROW(),3)=0)</formula>
    </cfRule>
    <cfRule type="expression" dxfId="4081" priority="2" stopIfTrue="1">
      <formula>$A9="："</formula>
    </cfRule>
    <cfRule type="expression" dxfId="4080" priority="3" stopIfTrue="1">
      <formula>$A9="＝"</formula>
    </cfRule>
  </conditionalFormatting>
  <conditionalFormatting sqref="E129:F129 E115:F115 E110:F110 E119:F119 E123:F123 E127:F127 E105:F105">
    <cfRule type="cellIs" dxfId="4079"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N55" sqref="N55"/>
    </sheetView>
  </sheetViews>
  <sheetFormatPr defaultColWidth="9.09765625" defaultRowHeight="13"/>
  <cols>
    <col min="1" max="2" width="9.765625E-2" style="2754" customWidth="1"/>
    <col min="3" max="3" width="31.59765625" style="1" customWidth="1"/>
    <col min="4" max="31" width="10.69921875" style="1" customWidth="1"/>
    <col min="32" max="16384" width="9.09765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5">
      <c r="A3" s="2749"/>
      <c r="B3" s="2832" t="s">
        <v>2606</v>
      </c>
      <c r="C3" s="3106" t="s">
        <v>974</v>
      </c>
      <c r="D3" s="3106"/>
      <c r="E3" s="3106"/>
      <c r="F3" s="3106"/>
      <c r="G3" s="3106"/>
      <c r="H3" s="3106"/>
      <c r="I3" s="3106"/>
      <c r="J3" s="3106"/>
      <c r="K3" s="3106"/>
      <c r="L3" s="3106"/>
      <c r="M3" s="3106"/>
      <c r="N3" s="3106"/>
      <c r="O3" s="3106"/>
      <c r="P3" s="3106"/>
      <c r="Q3" s="3106"/>
      <c r="R3" s="3106"/>
      <c r="S3" s="3106"/>
      <c r="T3" s="3106"/>
      <c r="U3" s="3106"/>
      <c r="V3" s="3106"/>
      <c r="W3" s="3106"/>
      <c r="X3" s="3106"/>
      <c r="Y3" s="3106"/>
      <c r="Z3" s="3106"/>
      <c r="AA3" s="3106"/>
      <c r="AB3" s="3106"/>
      <c r="AC3" s="1043"/>
      <c r="AD3" s="1043"/>
      <c r="AE3" s="1043"/>
      <c r="AF3" s="641"/>
      <c r="AG3" s="641"/>
      <c r="AH3" s="641"/>
      <c r="AI3" s="641"/>
    </row>
    <row r="4" spans="1:35" ht="18.75" customHeight="1">
      <c r="A4" s="2749"/>
      <c r="B4" s="2749"/>
      <c r="C4" s="3107" t="str">
        <f>Lead!$F$7</f>
        <v>2019年度</v>
      </c>
      <c r="D4" s="3107"/>
      <c r="E4" s="3107"/>
      <c r="F4" s="3107"/>
      <c r="G4" s="3107"/>
      <c r="H4" s="3107"/>
      <c r="I4" s="3107"/>
      <c r="J4" s="3107"/>
      <c r="K4" s="3107"/>
      <c r="L4" s="3107"/>
      <c r="M4" s="3107"/>
      <c r="N4" s="3107"/>
      <c r="O4" s="3107"/>
      <c r="P4" s="3107"/>
      <c r="Q4" s="3107"/>
      <c r="R4" s="3107"/>
      <c r="S4" s="3107"/>
      <c r="T4" s="3107"/>
      <c r="U4" s="3107"/>
      <c r="V4" s="3107"/>
      <c r="W4" s="3107"/>
      <c r="X4" s="3107"/>
      <c r="Y4" s="3107"/>
      <c r="Z4" s="3107"/>
      <c r="AA4" s="3107"/>
      <c r="AB4" s="3107"/>
      <c r="AC4" s="965"/>
      <c r="AD4" s="965"/>
      <c r="AE4" s="833" t="s">
        <v>2607</v>
      </c>
      <c r="AF4" s="641"/>
      <c r="AG4" s="641"/>
      <c r="AH4" s="641"/>
      <c r="AI4" s="641"/>
    </row>
    <row r="5" spans="1:35" ht="18.75" customHeight="1">
      <c r="A5" s="2749"/>
      <c r="B5" s="2749"/>
      <c r="C5" s="966" t="str">
        <f>Lead!$B$5&amp;"："&amp;Lead!$C$5</f>
        <v>编制单位：余江县天骏投资管理有限公司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6642</v>
      </c>
      <c r="E6" s="969"/>
      <c r="F6" s="969"/>
      <c r="G6" s="969"/>
      <c r="H6" s="970"/>
      <c r="I6" s="970"/>
      <c r="J6" s="970"/>
      <c r="K6" s="970"/>
      <c r="L6" s="970"/>
      <c r="M6" s="970"/>
      <c r="N6" s="970"/>
      <c r="O6" s="970"/>
      <c r="P6" s="970"/>
      <c r="Q6" s="1015"/>
      <c r="R6" s="1016" t="s">
        <v>6643</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08" t="s">
        <v>713</v>
      </c>
      <c r="E7" s="3109"/>
      <c r="F7" s="3109"/>
      <c r="G7" s="3109"/>
      <c r="H7" s="3109"/>
      <c r="I7" s="3109"/>
      <c r="J7" s="3109"/>
      <c r="K7" s="3109"/>
      <c r="L7" s="3109"/>
      <c r="M7" s="3109"/>
      <c r="N7" s="3109"/>
      <c r="O7" s="3110"/>
      <c r="P7" s="1008"/>
      <c r="Q7" s="1017"/>
      <c r="R7" s="3111" t="s">
        <v>713</v>
      </c>
      <c r="S7" s="3109"/>
      <c r="T7" s="3109"/>
      <c r="U7" s="3109"/>
      <c r="V7" s="3109"/>
      <c r="W7" s="3109"/>
      <c r="X7" s="3109"/>
      <c r="Y7" s="3109"/>
      <c r="Z7" s="3109"/>
      <c r="AA7" s="3109"/>
      <c r="AB7" s="3109"/>
      <c r="AC7" s="3110"/>
      <c r="AD7" s="1008"/>
      <c r="AE7" s="1046"/>
      <c r="AF7" s="641"/>
      <c r="AG7" s="641"/>
      <c r="AH7" s="641"/>
      <c r="AI7" s="641"/>
    </row>
    <row r="8" spans="1:35" ht="39">
      <c r="A8" s="2749" t="s">
        <v>2556</v>
      </c>
      <c r="B8" s="2749" t="s">
        <v>2558</v>
      </c>
      <c r="C8" s="972" t="s">
        <v>47</v>
      </c>
      <c r="D8" s="973" t="s">
        <v>5879</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7">
      <c r="A9" s="2752"/>
      <c r="B9" s="2833" t="s">
        <v>2615</v>
      </c>
      <c r="C9" s="974" t="str">
        <f t="shared" ref="C9:C15" si="0">VLOOKUP(VALUE($Q$2&amp;$B9),Sheet_Items,7,0)</f>
        <v>一、上年年末余额</v>
      </c>
      <c r="D9" s="918">
        <f>R40</f>
        <v>0</v>
      </c>
      <c r="E9" s="918"/>
      <c r="F9" s="918"/>
      <c r="G9" s="918"/>
      <c r="H9" s="918"/>
      <c r="I9" s="918"/>
      <c r="J9" s="918"/>
      <c r="K9" s="918"/>
      <c r="L9" s="918"/>
      <c r="M9" s="918"/>
      <c r="N9" s="918">
        <f>AB40</f>
        <v>-1714.32</v>
      </c>
      <c r="O9" s="918"/>
      <c r="P9" s="918"/>
      <c r="Q9" s="1020">
        <f>SUM(D9:H9,-I9,J9:P9)</f>
        <v>-1714.32</v>
      </c>
      <c r="R9" s="1021">
        <f>IF(ISERROR(VLOOKUP(VALUE(R$2&amp;$B9),Sheet_Balance1,2,0)),0,VLOOKUP(VALUE(R$2&amp;$B9),Sheet_Balance1,2,0))</f>
        <v>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0</v>
      </c>
      <c r="AC9" s="918">
        <f t="shared" si="3"/>
        <v>0</v>
      </c>
      <c r="AD9" s="918">
        <f t="shared" si="3"/>
        <v>0</v>
      </c>
      <c r="AE9" s="1049">
        <f>SUM(R9:V9,-W9,X9:AD9)</f>
        <v>0</v>
      </c>
      <c r="AF9" s="641"/>
      <c r="AG9" s="641"/>
      <c r="AH9" s="641"/>
      <c r="AI9" s="641"/>
    </row>
    <row r="10" spans="1:35" ht="17">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7">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7">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7">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7">
      <c r="A14" s="2752" t="s">
        <v>287</v>
      </c>
      <c r="B14" s="2833"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-1714.32</v>
      </c>
      <c r="O14" s="885">
        <f t="shared" si="6"/>
        <v>0</v>
      </c>
      <c r="P14" s="885">
        <f t="shared" si="6"/>
        <v>0</v>
      </c>
      <c r="Q14" s="1020">
        <f t="shared" si="4"/>
        <v>-1714.32</v>
      </c>
      <c r="R14" s="1022">
        <f t="shared" ref="R14:AD14" si="7">SUM(R9:R13)</f>
        <v>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0</v>
      </c>
      <c r="AC14" s="885">
        <f t="shared" si="7"/>
        <v>0</v>
      </c>
      <c r="AD14" s="885">
        <f t="shared" si="7"/>
        <v>0</v>
      </c>
      <c r="AE14" s="1049">
        <f t="shared" si="5"/>
        <v>0</v>
      </c>
      <c r="AF14" s="641"/>
      <c r="AG14" s="641"/>
      <c r="AH14" s="641"/>
      <c r="AI14" s="641"/>
    </row>
    <row r="15" spans="1:35" ht="26">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-2324.91</v>
      </c>
      <c r="O15" s="885">
        <f t="shared" si="8"/>
        <v>0</v>
      </c>
      <c r="P15" s="885">
        <f t="shared" si="8"/>
        <v>0</v>
      </c>
      <c r="Q15" s="1020">
        <f t="shared" si="4"/>
        <v>-2324.91</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-1714.32</v>
      </c>
      <c r="AC15" s="885">
        <f t="shared" si="9"/>
        <v>0</v>
      </c>
      <c r="AD15" s="885">
        <f t="shared" si="9"/>
        <v>0</v>
      </c>
      <c r="AE15" s="1049">
        <f t="shared" si="5"/>
        <v>-1714.32</v>
      </c>
      <c r="AF15" s="641"/>
      <c r="AG15" s="641"/>
      <c r="AH15" s="641"/>
      <c r="AI15" s="641"/>
    </row>
    <row r="16" spans="1:35" ht="17"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-2324.91</v>
      </c>
      <c r="O16" s="918"/>
      <c r="P16" s="918"/>
      <c r="Q16" s="1020">
        <f t="shared" si="4"/>
        <v>-2324.91</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-1714.32</v>
      </c>
      <c r="AC16" s="918">
        <f t="shared" ref="AC16:AD18" si="13">IF(ISERROR(VLOOKUP(VALUE(AC$2&amp;$B16),Sheet_Balance1,2,0)),0,VLOOKUP(VALUE(AC$2&amp;$B16),Sheet_Balance1,2,0))</f>
        <v>0</v>
      </c>
      <c r="AD16" s="918">
        <f t="shared" si="13"/>
        <v>0</v>
      </c>
      <c r="AE16" s="1049">
        <f t="shared" si="5"/>
        <v>-1714.32</v>
      </c>
      <c r="AF16" s="641"/>
      <c r="AG16" s="641"/>
      <c r="AH16" s="641"/>
      <c r="AI16" s="641"/>
    </row>
    <row r="17" spans="1:35" ht="17"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7">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-2324.91</v>
      </c>
      <c r="O18" s="918"/>
      <c r="P18" s="918"/>
      <c r="Q18" s="1020">
        <f t="shared" si="4"/>
        <v>-2324.91</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-1714.32</v>
      </c>
      <c r="AC18" s="918">
        <f t="shared" si="13"/>
        <v>0</v>
      </c>
      <c r="AD18" s="918">
        <f t="shared" si="13"/>
        <v>0</v>
      </c>
      <c r="AE18" s="1049">
        <f t="shared" si="5"/>
        <v>-1714.32</v>
      </c>
      <c r="AF18" s="641"/>
      <c r="AG18" s="641"/>
      <c r="AH18" s="641"/>
      <c r="AI18" s="641"/>
    </row>
    <row r="19" spans="1:35" ht="26">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7">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26">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7">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7">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7">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7">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7">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7">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7">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7">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26">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26">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7">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6">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7">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7">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7">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7">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7">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7">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7">
      <c r="A40" s="2752" t="s">
        <v>287</v>
      </c>
      <c r="B40" s="2833"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-4039.23</v>
      </c>
      <c r="O40" s="986">
        <f t="shared" si="39"/>
        <v>0</v>
      </c>
      <c r="P40" s="1010">
        <f t="shared" si="39"/>
        <v>0</v>
      </c>
      <c r="Q40" s="1025">
        <f t="shared" si="39"/>
        <v>-4039.23</v>
      </c>
      <c r="R40" s="1010">
        <f t="shared" ref="R40:AD40" si="40">SUM(R14,R15)</f>
        <v>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-1714.32</v>
      </c>
      <c r="AC40" s="986">
        <f t="shared" si="40"/>
        <v>0</v>
      </c>
      <c r="AD40" s="986">
        <f t="shared" si="40"/>
        <v>0</v>
      </c>
      <c r="AE40" s="1051">
        <f t="shared" si="39"/>
        <v>-1714.32</v>
      </c>
      <c r="AF40" s="641"/>
      <c r="AG40" s="641"/>
      <c r="AH40" s="641"/>
      <c r="AI40" s="641"/>
    </row>
    <row r="41" spans="1:35" ht="17">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7">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7">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7">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7">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7">
      <c r="A47" s="2752" t="s">
        <v>2565</v>
      </c>
      <c r="B47" s="2752"/>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-1714.32</v>
      </c>
      <c r="AC47" s="1001">
        <f t="shared" si="41"/>
        <v>0</v>
      </c>
      <c r="AD47" s="1001">
        <f t="shared" si="41"/>
        <v>0</v>
      </c>
      <c r="AE47" s="1054">
        <f t="shared" si="41"/>
        <v>-1714.32</v>
      </c>
      <c r="AF47" s="641"/>
      <c r="AG47" s="641"/>
      <c r="AH47" s="641"/>
      <c r="AI47" s="641"/>
    </row>
    <row r="48" spans="1:35" ht="17">
      <c r="A48" s="2752" t="s">
        <v>2565</v>
      </c>
      <c r="B48" s="2752"/>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-1714.32</v>
      </c>
      <c r="AC48" s="1031">
        <f t="shared" si="42"/>
        <v>0</v>
      </c>
      <c r="AD48" s="1031">
        <f t="shared" si="42"/>
        <v>0</v>
      </c>
      <c r="AE48" s="1055">
        <f t="shared" si="42"/>
        <v>-1714.32</v>
      </c>
      <c r="AF48" s="641"/>
      <c r="AG48" s="641"/>
      <c r="AH48" s="641"/>
      <c r="AI48" s="641"/>
    </row>
    <row r="49" spans="1:35" ht="17">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7">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6642</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7">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7">
      <c r="A54" s="2752" t="s">
        <v>2565</v>
      </c>
      <c r="B54" s="2752"/>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-4039.23</v>
      </c>
      <c r="O54" s="1001">
        <f t="shared" si="45"/>
        <v>0</v>
      </c>
      <c r="P54" s="1001">
        <f t="shared" si="45"/>
        <v>0</v>
      </c>
      <c r="Q54" s="1038">
        <f t="shared" si="45"/>
        <v>-4039.23</v>
      </c>
      <c r="R54" s="1030">
        <f t="shared" si="45"/>
        <v>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-1714.32</v>
      </c>
      <c r="AC54" s="1031">
        <f t="shared" si="45"/>
        <v>0</v>
      </c>
      <c r="AD54" s="1031">
        <f t="shared" si="45"/>
        <v>0</v>
      </c>
      <c r="AE54" s="1055">
        <f t="shared" si="45"/>
        <v>-1714.32</v>
      </c>
      <c r="AF54" s="641"/>
      <c r="AG54" s="641"/>
      <c r="AH54" s="641"/>
      <c r="AI54" s="641"/>
    </row>
    <row r="55" spans="1:35" ht="17">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-4039.23</v>
      </c>
      <c r="O55" s="1001"/>
      <c r="P55" s="1001">
        <f>preBS!K66</f>
        <v>0</v>
      </c>
      <c r="Q55" s="1038">
        <f>preBS!K67</f>
        <v>-4039.23</v>
      </c>
      <c r="R55" s="1030">
        <f>preBS!L54</f>
        <v>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-1714.32</v>
      </c>
      <c r="AC55" s="1031"/>
      <c r="AD55" s="1031">
        <f>preBS!L66</f>
        <v>0</v>
      </c>
      <c r="AE55" s="1055">
        <f>preBS!L67</f>
        <v>-1714.32</v>
      </c>
      <c r="AF55" s="641"/>
      <c r="AG55" s="641"/>
      <c r="AH55" s="641"/>
      <c r="AI55" s="641"/>
    </row>
    <row r="56" spans="1:35" ht="17">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7">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4VMyww9tZjSsTWaTUuC6jdzrApAk1qAwY/yHzinbDzsw6JImgl7vMKojsttjnkrXjJrdKtE/av+eCL/kvNxLVw==" saltValue="9T++SY9svarlCD3nPrLI0g==" spinCount="100000" sheet="1" scenarios="1" formatCells="0" autoFilter="0"/>
  <mergeCells count="4">
    <mergeCell ref="C3:AB3"/>
    <mergeCell ref="C4:AB4"/>
    <mergeCell ref="D7:O7"/>
    <mergeCell ref="R7:AC7"/>
  </mergeCells>
  <phoneticPr fontId="163" type="noConversion"/>
  <conditionalFormatting sqref="C40:P40 R40:AD40">
    <cfRule type="expression" dxfId="4078" priority="1" stopIfTrue="1">
      <formula>$A40="："</formula>
    </cfRule>
    <cfRule type="expression" dxfId="4077" priority="2" stopIfTrue="1">
      <formula>$A40="＝"</formula>
    </cfRule>
    <cfRule type="expression" dxfId="4076" priority="3" stopIfTrue="1">
      <formula>AND($A40&lt;&gt;"＝",MOD(ROW(),3)=0)</formula>
    </cfRule>
  </conditionalFormatting>
  <conditionalFormatting sqref="C47 D56:AE56 R49:AE49">
    <cfRule type="cellIs" dxfId="407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52" workbookViewId="0">
      <selection activeCell="H10" sqref="H10"/>
    </sheetView>
  </sheetViews>
  <sheetFormatPr defaultRowHeight="13"/>
  <cols>
    <col min="1" max="4" width="9.765625E-2" style="2797" customWidth="1"/>
    <col min="5" max="5" width="28.69921875" style="1665" customWidth="1"/>
    <col min="6" max="6" width="6.69921875" style="1665" customWidth="1"/>
    <col min="7" max="8" width="14.69921875" style="1665" customWidth="1"/>
    <col min="9" max="9" width="28.69921875" style="1665" customWidth="1"/>
    <col min="10" max="10" width="6.69921875" style="1665" customWidth="1"/>
    <col min="11" max="12" width="14.69921875" style="1665" customWidth="1"/>
    <col min="13" max="13" width="15.69921875" style="1665" customWidth="1"/>
    <col min="14" max="256" width="9.09765625" style="1665"/>
    <col min="257" max="260" width="9.765625E-2" style="1665" customWidth="1"/>
    <col min="261" max="261" width="28.69921875" style="1665" customWidth="1"/>
    <col min="262" max="262" width="6.69921875" style="1665" customWidth="1"/>
    <col min="263" max="264" width="14.69921875" style="1665" customWidth="1"/>
    <col min="265" max="265" width="28.69921875" style="1665" customWidth="1"/>
    <col min="266" max="266" width="6.69921875" style="1665" customWidth="1"/>
    <col min="267" max="268" width="14.69921875" style="1665" customWidth="1"/>
    <col min="269" max="269" width="15.69921875" style="1665" customWidth="1"/>
    <col min="270" max="512" width="9.09765625" style="1665"/>
    <col min="513" max="516" width="9.765625E-2" style="1665" customWidth="1"/>
    <col min="517" max="517" width="28.69921875" style="1665" customWidth="1"/>
    <col min="518" max="518" width="6.69921875" style="1665" customWidth="1"/>
    <col min="519" max="520" width="14.69921875" style="1665" customWidth="1"/>
    <col min="521" max="521" width="28.69921875" style="1665" customWidth="1"/>
    <col min="522" max="522" width="6.69921875" style="1665" customWidth="1"/>
    <col min="523" max="524" width="14.69921875" style="1665" customWidth="1"/>
    <col min="525" max="525" width="15.69921875" style="1665" customWidth="1"/>
    <col min="526" max="768" width="9.09765625" style="1665"/>
    <col min="769" max="772" width="9.765625E-2" style="1665" customWidth="1"/>
    <col min="773" max="773" width="28.69921875" style="1665" customWidth="1"/>
    <col min="774" max="774" width="6.69921875" style="1665" customWidth="1"/>
    <col min="775" max="776" width="14.69921875" style="1665" customWidth="1"/>
    <col min="777" max="777" width="28.69921875" style="1665" customWidth="1"/>
    <col min="778" max="778" width="6.69921875" style="1665" customWidth="1"/>
    <col min="779" max="780" width="14.69921875" style="1665" customWidth="1"/>
    <col min="781" max="781" width="15.69921875" style="1665" customWidth="1"/>
    <col min="782" max="1024" width="9.09765625" style="1665"/>
    <col min="1025" max="1028" width="9.765625E-2" style="1665" customWidth="1"/>
    <col min="1029" max="1029" width="28.69921875" style="1665" customWidth="1"/>
    <col min="1030" max="1030" width="6.69921875" style="1665" customWidth="1"/>
    <col min="1031" max="1032" width="14.69921875" style="1665" customWidth="1"/>
    <col min="1033" max="1033" width="28.69921875" style="1665" customWidth="1"/>
    <col min="1034" max="1034" width="6.69921875" style="1665" customWidth="1"/>
    <col min="1035" max="1036" width="14.69921875" style="1665" customWidth="1"/>
    <col min="1037" max="1037" width="15.69921875" style="1665" customWidth="1"/>
    <col min="1038" max="1280" width="9.09765625" style="1665"/>
    <col min="1281" max="1284" width="9.765625E-2" style="1665" customWidth="1"/>
    <col min="1285" max="1285" width="28.69921875" style="1665" customWidth="1"/>
    <col min="1286" max="1286" width="6.69921875" style="1665" customWidth="1"/>
    <col min="1287" max="1288" width="14.69921875" style="1665" customWidth="1"/>
    <col min="1289" max="1289" width="28.69921875" style="1665" customWidth="1"/>
    <col min="1290" max="1290" width="6.69921875" style="1665" customWidth="1"/>
    <col min="1291" max="1292" width="14.69921875" style="1665" customWidth="1"/>
    <col min="1293" max="1293" width="15.69921875" style="1665" customWidth="1"/>
    <col min="1294" max="1536" width="9.09765625" style="1665"/>
    <col min="1537" max="1540" width="9.765625E-2" style="1665" customWidth="1"/>
    <col min="1541" max="1541" width="28.69921875" style="1665" customWidth="1"/>
    <col min="1542" max="1542" width="6.69921875" style="1665" customWidth="1"/>
    <col min="1543" max="1544" width="14.69921875" style="1665" customWidth="1"/>
    <col min="1545" max="1545" width="28.69921875" style="1665" customWidth="1"/>
    <col min="1546" max="1546" width="6.69921875" style="1665" customWidth="1"/>
    <col min="1547" max="1548" width="14.69921875" style="1665" customWidth="1"/>
    <col min="1549" max="1549" width="15.69921875" style="1665" customWidth="1"/>
    <col min="1550" max="1792" width="9.09765625" style="1665"/>
    <col min="1793" max="1796" width="9.765625E-2" style="1665" customWidth="1"/>
    <col min="1797" max="1797" width="28.69921875" style="1665" customWidth="1"/>
    <col min="1798" max="1798" width="6.69921875" style="1665" customWidth="1"/>
    <col min="1799" max="1800" width="14.69921875" style="1665" customWidth="1"/>
    <col min="1801" max="1801" width="28.69921875" style="1665" customWidth="1"/>
    <col min="1802" max="1802" width="6.69921875" style="1665" customWidth="1"/>
    <col min="1803" max="1804" width="14.69921875" style="1665" customWidth="1"/>
    <col min="1805" max="1805" width="15.69921875" style="1665" customWidth="1"/>
    <col min="1806" max="2048" width="9.09765625" style="1665"/>
    <col min="2049" max="2052" width="9.765625E-2" style="1665" customWidth="1"/>
    <col min="2053" max="2053" width="28.69921875" style="1665" customWidth="1"/>
    <col min="2054" max="2054" width="6.69921875" style="1665" customWidth="1"/>
    <col min="2055" max="2056" width="14.69921875" style="1665" customWidth="1"/>
    <col min="2057" max="2057" width="28.69921875" style="1665" customWidth="1"/>
    <col min="2058" max="2058" width="6.69921875" style="1665" customWidth="1"/>
    <col min="2059" max="2060" width="14.69921875" style="1665" customWidth="1"/>
    <col min="2061" max="2061" width="15.69921875" style="1665" customWidth="1"/>
    <col min="2062" max="2304" width="9.09765625" style="1665"/>
    <col min="2305" max="2308" width="9.765625E-2" style="1665" customWidth="1"/>
    <col min="2309" max="2309" width="28.69921875" style="1665" customWidth="1"/>
    <col min="2310" max="2310" width="6.69921875" style="1665" customWidth="1"/>
    <col min="2311" max="2312" width="14.69921875" style="1665" customWidth="1"/>
    <col min="2313" max="2313" width="28.69921875" style="1665" customWidth="1"/>
    <col min="2314" max="2314" width="6.69921875" style="1665" customWidth="1"/>
    <col min="2315" max="2316" width="14.69921875" style="1665" customWidth="1"/>
    <col min="2317" max="2317" width="15.69921875" style="1665" customWidth="1"/>
    <col min="2318" max="2560" width="9.09765625" style="1665"/>
    <col min="2561" max="2564" width="9.765625E-2" style="1665" customWidth="1"/>
    <col min="2565" max="2565" width="28.69921875" style="1665" customWidth="1"/>
    <col min="2566" max="2566" width="6.69921875" style="1665" customWidth="1"/>
    <col min="2567" max="2568" width="14.69921875" style="1665" customWidth="1"/>
    <col min="2569" max="2569" width="28.69921875" style="1665" customWidth="1"/>
    <col min="2570" max="2570" width="6.69921875" style="1665" customWidth="1"/>
    <col min="2571" max="2572" width="14.69921875" style="1665" customWidth="1"/>
    <col min="2573" max="2573" width="15.69921875" style="1665" customWidth="1"/>
    <col min="2574" max="2816" width="9.09765625" style="1665"/>
    <col min="2817" max="2820" width="9.765625E-2" style="1665" customWidth="1"/>
    <col min="2821" max="2821" width="28.69921875" style="1665" customWidth="1"/>
    <col min="2822" max="2822" width="6.69921875" style="1665" customWidth="1"/>
    <col min="2823" max="2824" width="14.69921875" style="1665" customWidth="1"/>
    <col min="2825" max="2825" width="28.69921875" style="1665" customWidth="1"/>
    <col min="2826" max="2826" width="6.69921875" style="1665" customWidth="1"/>
    <col min="2827" max="2828" width="14.69921875" style="1665" customWidth="1"/>
    <col min="2829" max="2829" width="15.69921875" style="1665" customWidth="1"/>
    <col min="2830" max="3072" width="9.09765625" style="1665"/>
    <col min="3073" max="3076" width="9.765625E-2" style="1665" customWidth="1"/>
    <col min="3077" max="3077" width="28.69921875" style="1665" customWidth="1"/>
    <col min="3078" max="3078" width="6.69921875" style="1665" customWidth="1"/>
    <col min="3079" max="3080" width="14.69921875" style="1665" customWidth="1"/>
    <col min="3081" max="3081" width="28.69921875" style="1665" customWidth="1"/>
    <col min="3082" max="3082" width="6.69921875" style="1665" customWidth="1"/>
    <col min="3083" max="3084" width="14.69921875" style="1665" customWidth="1"/>
    <col min="3085" max="3085" width="15.69921875" style="1665" customWidth="1"/>
    <col min="3086" max="3328" width="9.09765625" style="1665"/>
    <col min="3329" max="3332" width="9.765625E-2" style="1665" customWidth="1"/>
    <col min="3333" max="3333" width="28.69921875" style="1665" customWidth="1"/>
    <col min="3334" max="3334" width="6.69921875" style="1665" customWidth="1"/>
    <col min="3335" max="3336" width="14.69921875" style="1665" customWidth="1"/>
    <col min="3337" max="3337" width="28.69921875" style="1665" customWidth="1"/>
    <col min="3338" max="3338" width="6.69921875" style="1665" customWidth="1"/>
    <col min="3339" max="3340" width="14.69921875" style="1665" customWidth="1"/>
    <col min="3341" max="3341" width="15.69921875" style="1665" customWidth="1"/>
    <col min="3342" max="3584" width="9.09765625" style="1665"/>
    <col min="3585" max="3588" width="9.765625E-2" style="1665" customWidth="1"/>
    <col min="3589" max="3589" width="28.69921875" style="1665" customWidth="1"/>
    <col min="3590" max="3590" width="6.69921875" style="1665" customWidth="1"/>
    <col min="3591" max="3592" width="14.69921875" style="1665" customWidth="1"/>
    <col min="3593" max="3593" width="28.69921875" style="1665" customWidth="1"/>
    <col min="3594" max="3594" width="6.69921875" style="1665" customWidth="1"/>
    <col min="3595" max="3596" width="14.69921875" style="1665" customWidth="1"/>
    <col min="3597" max="3597" width="15.69921875" style="1665" customWidth="1"/>
    <col min="3598" max="3840" width="9.09765625" style="1665"/>
    <col min="3841" max="3844" width="9.765625E-2" style="1665" customWidth="1"/>
    <col min="3845" max="3845" width="28.69921875" style="1665" customWidth="1"/>
    <col min="3846" max="3846" width="6.69921875" style="1665" customWidth="1"/>
    <col min="3847" max="3848" width="14.69921875" style="1665" customWidth="1"/>
    <col min="3849" max="3849" width="28.69921875" style="1665" customWidth="1"/>
    <col min="3850" max="3850" width="6.69921875" style="1665" customWidth="1"/>
    <col min="3851" max="3852" width="14.69921875" style="1665" customWidth="1"/>
    <col min="3853" max="3853" width="15.69921875" style="1665" customWidth="1"/>
    <col min="3854" max="4096" width="9.09765625" style="1665"/>
    <col min="4097" max="4100" width="9.765625E-2" style="1665" customWidth="1"/>
    <col min="4101" max="4101" width="28.69921875" style="1665" customWidth="1"/>
    <col min="4102" max="4102" width="6.69921875" style="1665" customWidth="1"/>
    <col min="4103" max="4104" width="14.69921875" style="1665" customWidth="1"/>
    <col min="4105" max="4105" width="28.69921875" style="1665" customWidth="1"/>
    <col min="4106" max="4106" width="6.69921875" style="1665" customWidth="1"/>
    <col min="4107" max="4108" width="14.69921875" style="1665" customWidth="1"/>
    <col min="4109" max="4109" width="15.69921875" style="1665" customWidth="1"/>
    <col min="4110" max="4352" width="9.09765625" style="1665"/>
    <col min="4353" max="4356" width="9.765625E-2" style="1665" customWidth="1"/>
    <col min="4357" max="4357" width="28.69921875" style="1665" customWidth="1"/>
    <col min="4358" max="4358" width="6.69921875" style="1665" customWidth="1"/>
    <col min="4359" max="4360" width="14.69921875" style="1665" customWidth="1"/>
    <col min="4361" max="4361" width="28.69921875" style="1665" customWidth="1"/>
    <col min="4362" max="4362" width="6.69921875" style="1665" customWidth="1"/>
    <col min="4363" max="4364" width="14.69921875" style="1665" customWidth="1"/>
    <col min="4365" max="4365" width="15.69921875" style="1665" customWidth="1"/>
    <col min="4366" max="4608" width="9.09765625" style="1665"/>
    <col min="4609" max="4612" width="9.765625E-2" style="1665" customWidth="1"/>
    <col min="4613" max="4613" width="28.69921875" style="1665" customWidth="1"/>
    <col min="4614" max="4614" width="6.69921875" style="1665" customWidth="1"/>
    <col min="4615" max="4616" width="14.69921875" style="1665" customWidth="1"/>
    <col min="4617" max="4617" width="28.69921875" style="1665" customWidth="1"/>
    <col min="4618" max="4618" width="6.69921875" style="1665" customWidth="1"/>
    <col min="4619" max="4620" width="14.69921875" style="1665" customWidth="1"/>
    <col min="4621" max="4621" width="15.69921875" style="1665" customWidth="1"/>
    <col min="4622" max="4864" width="9.09765625" style="1665"/>
    <col min="4865" max="4868" width="9.765625E-2" style="1665" customWidth="1"/>
    <col min="4869" max="4869" width="28.69921875" style="1665" customWidth="1"/>
    <col min="4870" max="4870" width="6.69921875" style="1665" customWidth="1"/>
    <col min="4871" max="4872" width="14.69921875" style="1665" customWidth="1"/>
    <col min="4873" max="4873" width="28.69921875" style="1665" customWidth="1"/>
    <col min="4874" max="4874" width="6.69921875" style="1665" customWidth="1"/>
    <col min="4875" max="4876" width="14.69921875" style="1665" customWidth="1"/>
    <col min="4877" max="4877" width="15.69921875" style="1665" customWidth="1"/>
    <col min="4878" max="5120" width="9.09765625" style="1665"/>
    <col min="5121" max="5124" width="9.765625E-2" style="1665" customWidth="1"/>
    <col min="5125" max="5125" width="28.69921875" style="1665" customWidth="1"/>
    <col min="5126" max="5126" width="6.69921875" style="1665" customWidth="1"/>
    <col min="5127" max="5128" width="14.69921875" style="1665" customWidth="1"/>
    <col min="5129" max="5129" width="28.69921875" style="1665" customWidth="1"/>
    <col min="5130" max="5130" width="6.69921875" style="1665" customWidth="1"/>
    <col min="5131" max="5132" width="14.69921875" style="1665" customWidth="1"/>
    <col min="5133" max="5133" width="15.69921875" style="1665" customWidth="1"/>
    <col min="5134" max="5376" width="9.09765625" style="1665"/>
    <col min="5377" max="5380" width="9.765625E-2" style="1665" customWidth="1"/>
    <col min="5381" max="5381" width="28.69921875" style="1665" customWidth="1"/>
    <col min="5382" max="5382" width="6.69921875" style="1665" customWidth="1"/>
    <col min="5383" max="5384" width="14.69921875" style="1665" customWidth="1"/>
    <col min="5385" max="5385" width="28.69921875" style="1665" customWidth="1"/>
    <col min="5386" max="5386" width="6.69921875" style="1665" customWidth="1"/>
    <col min="5387" max="5388" width="14.69921875" style="1665" customWidth="1"/>
    <col min="5389" max="5389" width="15.69921875" style="1665" customWidth="1"/>
    <col min="5390" max="5632" width="9.09765625" style="1665"/>
    <col min="5633" max="5636" width="9.765625E-2" style="1665" customWidth="1"/>
    <col min="5637" max="5637" width="28.69921875" style="1665" customWidth="1"/>
    <col min="5638" max="5638" width="6.69921875" style="1665" customWidth="1"/>
    <col min="5639" max="5640" width="14.69921875" style="1665" customWidth="1"/>
    <col min="5641" max="5641" width="28.69921875" style="1665" customWidth="1"/>
    <col min="5642" max="5642" width="6.69921875" style="1665" customWidth="1"/>
    <col min="5643" max="5644" width="14.69921875" style="1665" customWidth="1"/>
    <col min="5645" max="5645" width="15.69921875" style="1665" customWidth="1"/>
    <col min="5646" max="5888" width="9.09765625" style="1665"/>
    <col min="5889" max="5892" width="9.765625E-2" style="1665" customWidth="1"/>
    <col min="5893" max="5893" width="28.69921875" style="1665" customWidth="1"/>
    <col min="5894" max="5894" width="6.69921875" style="1665" customWidth="1"/>
    <col min="5895" max="5896" width="14.69921875" style="1665" customWidth="1"/>
    <col min="5897" max="5897" width="28.69921875" style="1665" customWidth="1"/>
    <col min="5898" max="5898" width="6.69921875" style="1665" customWidth="1"/>
    <col min="5899" max="5900" width="14.69921875" style="1665" customWidth="1"/>
    <col min="5901" max="5901" width="15.69921875" style="1665" customWidth="1"/>
    <col min="5902" max="6144" width="9.09765625" style="1665"/>
    <col min="6145" max="6148" width="9.765625E-2" style="1665" customWidth="1"/>
    <col min="6149" max="6149" width="28.69921875" style="1665" customWidth="1"/>
    <col min="6150" max="6150" width="6.69921875" style="1665" customWidth="1"/>
    <col min="6151" max="6152" width="14.69921875" style="1665" customWidth="1"/>
    <col min="6153" max="6153" width="28.69921875" style="1665" customWidth="1"/>
    <col min="6154" max="6154" width="6.69921875" style="1665" customWidth="1"/>
    <col min="6155" max="6156" width="14.69921875" style="1665" customWidth="1"/>
    <col min="6157" max="6157" width="15.69921875" style="1665" customWidth="1"/>
    <col min="6158" max="6400" width="9.09765625" style="1665"/>
    <col min="6401" max="6404" width="9.765625E-2" style="1665" customWidth="1"/>
    <col min="6405" max="6405" width="28.69921875" style="1665" customWidth="1"/>
    <col min="6406" max="6406" width="6.69921875" style="1665" customWidth="1"/>
    <col min="6407" max="6408" width="14.69921875" style="1665" customWidth="1"/>
    <col min="6409" max="6409" width="28.69921875" style="1665" customWidth="1"/>
    <col min="6410" max="6410" width="6.69921875" style="1665" customWidth="1"/>
    <col min="6411" max="6412" width="14.69921875" style="1665" customWidth="1"/>
    <col min="6413" max="6413" width="15.69921875" style="1665" customWidth="1"/>
    <col min="6414" max="6656" width="9.09765625" style="1665"/>
    <col min="6657" max="6660" width="9.765625E-2" style="1665" customWidth="1"/>
    <col min="6661" max="6661" width="28.69921875" style="1665" customWidth="1"/>
    <col min="6662" max="6662" width="6.69921875" style="1665" customWidth="1"/>
    <col min="6663" max="6664" width="14.69921875" style="1665" customWidth="1"/>
    <col min="6665" max="6665" width="28.69921875" style="1665" customWidth="1"/>
    <col min="6666" max="6666" width="6.69921875" style="1665" customWidth="1"/>
    <col min="6667" max="6668" width="14.69921875" style="1665" customWidth="1"/>
    <col min="6669" max="6669" width="15.69921875" style="1665" customWidth="1"/>
    <col min="6670" max="6912" width="9.09765625" style="1665"/>
    <col min="6913" max="6916" width="9.765625E-2" style="1665" customWidth="1"/>
    <col min="6917" max="6917" width="28.69921875" style="1665" customWidth="1"/>
    <col min="6918" max="6918" width="6.69921875" style="1665" customWidth="1"/>
    <col min="6919" max="6920" width="14.69921875" style="1665" customWidth="1"/>
    <col min="6921" max="6921" width="28.69921875" style="1665" customWidth="1"/>
    <col min="6922" max="6922" width="6.69921875" style="1665" customWidth="1"/>
    <col min="6923" max="6924" width="14.69921875" style="1665" customWidth="1"/>
    <col min="6925" max="6925" width="15.69921875" style="1665" customWidth="1"/>
    <col min="6926" max="7168" width="9.09765625" style="1665"/>
    <col min="7169" max="7172" width="9.765625E-2" style="1665" customWidth="1"/>
    <col min="7173" max="7173" width="28.69921875" style="1665" customWidth="1"/>
    <col min="7174" max="7174" width="6.69921875" style="1665" customWidth="1"/>
    <col min="7175" max="7176" width="14.69921875" style="1665" customWidth="1"/>
    <col min="7177" max="7177" width="28.69921875" style="1665" customWidth="1"/>
    <col min="7178" max="7178" width="6.69921875" style="1665" customWidth="1"/>
    <col min="7179" max="7180" width="14.69921875" style="1665" customWidth="1"/>
    <col min="7181" max="7181" width="15.69921875" style="1665" customWidth="1"/>
    <col min="7182" max="7424" width="9.09765625" style="1665"/>
    <col min="7425" max="7428" width="9.765625E-2" style="1665" customWidth="1"/>
    <col min="7429" max="7429" width="28.69921875" style="1665" customWidth="1"/>
    <col min="7430" max="7430" width="6.69921875" style="1665" customWidth="1"/>
    <col min="7431" max="7432" width="14.69921875" style="1665" customWidth="1"/>
    <col min="7433" max="7433" width="28.69921875" style="1665" customWidth="1"/>
    <col min="7434" max="7434" width="6.69921875" style="1665" customWidth="1"/>
    <col min="7435" max="7436" width="14.69921875" style="1665" customWidth="1"/>
    <col min="7437" max="7437" width="15.69921875" style="1665" customWidth="1"/>
    <col min="7438" max="7680" width="9.09765625" style="1665"/>
    <col min="7681" max="7684" width="9.765625E-2" style="1665" customWidth="1"/>
    <col min="7685" max="7685" width="28.69921875" style="1665" customWidth="1"/>
    <col min="7686" max="7686" width="6.69921875" style="1665" customWidth="1"/>
    <col min="7687" max="7688" width="14.69921875" style="1665" customWidth="1"/>
    <col min="7689" max="7689" width="28.69921875" style="1665" customWidth="1"/>
    <col min="7690" max="7690" width="6.69921875" style="1665" customWidth="1"/>
    <col min="7691" max="7692" width="14.69921875" style="1665" customWidth="1"/>
    <col min="7693" max="7693" width="15.69921875" style="1665" customWidth="1"/>
    <col min="7694" max="7936" width="9.09765625" style="1665"/>
    <col min="7937" max="7940" width="9.765625E-2" style="1665" customWidth="1"/>
    <col min="7941" max="7941" width="28.69921875" style="1665" customWidth="1"/>
    <col min="7942" max="7942" width="6.69921875" style="1665" customWidth="1"/>
    <col min="7943" max="7944" width="14.69921875" style="1665" customWidth="1"/>
    <col min="7945" max="7945" width="28.69921875" style="1665" customWidth="1"/>
    <col min="7946" max="7946" width="6.69921875" style="1665" customWidth="1"/>
    <col min="7947" max="7948" width="14.69921875" style="1665" customWidth="1"/>
    <col min="7949" max="7949" width="15.69921875" style="1665" customWidth="1"/>
    <col min="7950" max="8192" width="9.09765625" style="1665"/>
    <col min="8193" max="8196" width="9.765625E-2" style="1665" customWidth="1"/>
    <col min="8197" max="8197" width="28.69921875" style="1665" customWidth="1"/>
    <col min="8198" max="8198" width="6.69921875" style="1665" customWidth="1"/>
    <col min="8199" max="8200" width="14.69921875" style="1665" customWidth="1"/>
    <col min="8201" max="8201" width="28.69921875" style="1665" customWidth="1"/>
    <col min="8202" max="8202" width="6.69921875" style="1665" customWidth="1"/>
    <col min="8203" max="8204" width="14.69921875" style="1665" customWidth="1"/>
    <col min="8205" max="8205" width="15.69921875" style="1665" customWidth="1"/>
    <col min="8206" max="8448" width="9.09765625" style="1665"/>
    <col min="8449" max="8452" width="9.765625E-2" style="1665" customWidth="1"/>
    <col min="8453" max="8453" width="28.69921875" style="1665" customWidth="1"/>
    <col min="8454" max="8454" width="6.69921875" style="1665" customWidth="1"/>
    <col min="8455" max="8456" width="14.69921875" style="1665" customWidth="1"/>
    <col min="8457" max="8457" width="28.69921875" style="1665" customWidth="1"/>
    <col min="8458" max="8458" width="6.69921875" style="1665" customWidth="1"/>
    <col min="8459" max="8460" width="14.69921875" style="1665" customWidth="1"/>
    <col min="8461" max="8461" width="15.69921875" style="1665" customWidth="1"/>
    <col min="8462" max="8704" width="9.09765625" style="1665"/>
    <col min="8705" max="8708" width="9.765625E-2" style="1665" customWidth="1"/>
    <col min="8709" max="8709" width="28.69921875" style="1665" customWidth="1"/>
    <col min="8710" max="8710" width="6.69921875" style="1665" customWidth="1"/>
    <col min="8711" max="8712" width="14.69921875" style="1665" customWidth="1"/>
    <col min="8713" max="8713" width="28.69921875" style="1665" customWidth="1"/>
    <col min="8714" max="8714" width="6.69921875" style="1665" customWidth="1"/>
    <col min="8715" max="8716" width="14.69921875" style="1665" customWidth="1"/>
    <col min="8717" max="8717" width="15.69921875" style="1665" customWidth="1"/>
    <col min="8718" max="8960" width="9.09765625" style="1665"/>
    <col min="8961" max="8964" width="9.765625E-2" style="1665" customWidth="1"/>
    <col min="8965" max="8965" width="28.69921875" style="1665" customWidth="1"/>
    <col min="8966" max="8966" width="6.69921875" style="1665" customWidth="1"/>
    <col min="8967" max="8968" width="14.69921875" style="1665" customWidth="1"/>
    <col min="8969" max="8969" width="28.69921875" style="1665" customWidth="1"/>
    <col min="8970" max="8970" width="6.69921875" style="1665" customWidth="1"/>
    <col min="8971" max="8972" width="14.69921875" style="1665" customWidth="1"/>
    <col min="8973" max="8973" width="15.69921875" style="1665" customWidth="1"/>
    <col min="8974" max="9216" width="9.09765625" style="1665"/>
    <col min="9217" max="9220" width="9.765625E-2" style="1665" customWidth="1"/>
    <col min="9221" max="9221" width="28.69921875" style="1665" customWidth="1"/>
    <col min="9222" max="9222" width="6.69921875" style="1665" customWidth="1"/>
    <col min="9223" max="9224" width="14.69921875" style="1665" customWidth="1"/>
    <col min="9225" max="9225" width="28.69921875" style="1665" customWidth="1"/>
    <col min="9226" max="9226" width="6.69921875" style="1665" customWidth="1"/>
    <col min="9227" max="9228" width="14.69921875" style="1665" customWidth="1"/>
    <col min="9229" max="9229" width="15.69921875" style="1665" customWidth="1"/>
    <col min="9230" max="9472" width="9.09765625" style="1665"/>
    <col min="9473" max="9476" width="9.765625E-2" style="1665" customWidth="1"/>
    <col min="9477" max="9477" width="28.69921875" style="1665" customWidth="1"/>
    <col min="9478" max="9478" width="6.69921875" style="1665" customWidth="1"/>
    <col min="9479" max="9480" width="14.69921875" style="1665" customWidth="1"/>
    <col min="9481" max="9481" width="28.69921875" style="1665" customWidth="1"/>
    <col min="9482" max="9482" width="6.69921875" style="1665" customWidth="1"/>
    <col min="9483" max="9484" width="14.69921875" style="1665" customWidth="1"/>
    <col min="9485" max="9485" width="15.69921875" style="1665" customWidth="1"/>
    <col min="9486" max="9728" width="9.09765625" style="1665"/>
    <col min="9729" max="9732" width="9.765625E-2" style="1665" customWidth="1"/>
    <col min="9733" max="9733" width="28.69921875" style="1665" customWidth="1"/>
    <col min="9734" max="9734" width="6.69921875" style="1665" customWidth="1"/>
    <col min="9735" max="9736" width="14.69921875" style="1665" customWidth="1"/>
    <col min="9737" max="9737" width="28.69921875" style="1665" customWidth="1"/>
    <col min="9738" max="9738" width="6.69921875" style="1665" customWidth="1"/>
    <col min="9739" max="9740" width="14.69921875" style="1665" customWidth="1"/>
    <col min="9741" max="9741" width="15.69921875" style="1665" customWidth="1"/>
    <col min="9742" max="9984" width="9.09765625" style="1665"/>
    <col min="9985" max="9988" width="9.765625E-2" style="1665" customWidth="1"/>
    <col min="9989" max="9989" width="28.69921875" style="1665" customWidth="1"/>
    <col min="9990" max="9990" width="6.69921875" style="1665" customWidth="1"/>
    <col min="9991" max="9992" width="14.69921875" style="1665" customWidth="1"/>
    <col min="9993" max="9993" width="28.69921875" style="1665" customWidth="1"/>
    <col min="9994" max="9994" width="6.69921875" style="1665" customWidth="1"/>
    <col min="9995" max="9996" width="14.69921875" style="1665" customWidth="1"/>
    <col min="9997" max="9997" width="15.69921875" style="1665" customWidth="1"/>
    <col min="9998" max="10240" width="9.09765625" style="1665"/>
    <col min="10241" max="10244" width="9.765625E-2" style="1665" customWidth="1"/>
    <col min="10245" max="10245" width="28.69921875" style="1665" customWidth="1"/>
    <col min="10246" max="10246" width="6.69921875" style="1665" customWidth="1"/>
    <col min="10247" max="10248" width="14.69921875" style="1665" customWidth="1"/>
    <col min="10249" max="10249" width="28.69921875" style="1665" customWidth="1"/>
    <col min="10250" max="10250" width="6.69921875" style="1665" customWidth="1"/>
    <col min="10251" max="10252" width="14.69921875" style="1665" customWidth="1"/>
    <col min="10253" max="10253" width="15.69921875" style="1665" customWidth="1"/>
    <col min="10254" max="10496" width="9.09765625" style="1665"/>
    <col min="10497" max="10500" width="9.765625E-2" style="1665" customWidth="1"/>
    <col min="10501" max="10501" width="28.69921875" style="1665" customWidth="1"/>
    <col min="10502" max="10502" width="6.69921875" style="1665" customWidth="1"/>
    <col min="10503" max="10504" width="14.69921875" style="1665" customWidth="1"/>
    <col min="10505" max="10505" width="28.69921875" style="1665" customWidth="1"/>
    <col min="10506" max="10506" width="6.69921875" style="1665" customWidth="1"/>
    <col min="10507" max="10508" width="14.69921875" style="1665" customWidth="1"/>
    <col min="10509" max="10509" width="15.69921875" style="1665" customWidth="1"/>
    <col min="10510" max="10752" width="9.09765625" style="1665"/>
    <col min="10753" max="10756" width="9.765625E-2" style="1665" customWidth="1"/>
    <col min="10757" max="10757" width="28.69921875" style="1665" customWidth="1"/>
    <col min="10758" max="10758" width="6.69921875" style="1665" customWidth="1"/>
    <col min="10759" max="10760" width="14.69921875" style="1665" customWidth="1"/>
    <col min="10761" max="10761" width="28.69921875" style="1665" customWidth="1"/>
    <col min="10762" max="10762" width="6.69921875" style="1665" customWidth="1"/>
    <col min="10763" max="10764" width="14.69921875" style="1665" customWidth="1"/>
    <col min="10765" max="10765" width="15.69921875" style="1665" customWidth="1"/>
    <col min="10766" max="11008" width="9.09765625" style="1665"/>
    <col min="11009" max="11012" width="9.765625E-2" style="1665" customWidth="1"/>
    <col min="11013" max="11013" width="28.69921875" style="1665" customWidth="1"/>
    <col min="11014" max="11014" width="6.69921875" style="1665" customWidth="1"/>
    <col min="11015" max="11016" width="14.69921875" style="1665" customWidth="1"/>
    <col min="11017" max="11017" width="28.69921875" style="1665" customWidth="1"/>
    <col min="11018" max="11018" width="6.69921875" style="1665" customWidth="1"/>
    <col min="11019" max="11020" width="14.69921875" style="1665" customWidth="1"/>
    <col min="11021" max="11021" width="15.69921875" style="1665" customWidth="1"/>
    <col min="11022" max="11264" width="9.09765625" style="1665"/>
    <col min="11265" max="11268" width="9.765625E-2" style="1665" customWidth="1"/>
    <col min="11269" max="11269" width="28.69921875" style="1665" customWidth="1"/>
    <col min="11270" max="11270" width="6.69921875" style="1665" customWidth="1"/>
    <col min="11271" max="11272" width="14.69921875" style="1665" customWidth="1"/>
    <col min="11273" max="11273" width="28.69921875" style="1665" customWidth="1"/>
    <col min="11274" max="11274" width="6.69921875" style="1665" customWidth="1"/>
    <col min="11275" max="11276" width="14.69921875" style="1665" customWidth="1"/>
    <col min="11277" max="11277" width="15.69921875" style="1665" customWidth="1"/>
    <col min="11278" max="11520" width="9.09765625" style="1665"/>
    <col min="11521" max="11524" width="9.765625E-2" style="1665" customWidth="1"/>
    <col min="11525" max="11525" width="28.69921875" style="1665" customWidth="1"/>
    <col min="11526" max="11526" width="6.69921875" style="1665" customWidth="1"/>
    <col min="11527" max="11528" width="14.69921875" style="1665" customWidth="1"/>
    <col min="11529" max="11529" width="28.69921875" style="1665" customWidth="1"/>
    <col min="11530" max="11530" width="6.69921875" style="1665" customWidth="1"/>
    <col min="11531" max="11532" width="14.69921875" style="1665" customWidth="1"/>
    <col min="11533" max="11533" width="15.69921875" style="1665" customWidth="1"/>
    <col min="11534" max="11776" width="9.09765625" style="1665"/>
    <col min="11777" max="11780" width="9.765625E-2" style="1665" customWidth="1"/>
    <col min="11781" max="11781" width="28.69921875" style="1665" customWidth="1"/>
    <col min="11782" max="11782" width="6.69921875" style="1665" customWidth="1"/>
    <col min="11783" max="11784" width="14.69921875" style="1665" customWidth="1"/>
    <col min="11785" max="11785" width="28.69921875" style="1665" customWidth="1"/>
    <col min="11786" max="11786" width="6.69921875" style="1665" customWidth="1"/>
    <col min="11787" max="11788" width="14.69921875" style="1665" customWidth="1"/>
    <col min="11789" max="11789" width="15.69921875" style="1665" customWidth="1"/>
    <col min="11790" max="12032" width="9.09765625" style="1665"/>
    <col min="12033" max="12036" width="9.765625E-2" style="1665" customWidth="1"/>
    <col min="12037" max="12037" width="28.69921875" style="1665" customWidth="1"/>
    <col min="12038" max="12038" width="6.69921875" style="1665" customWidth="1"/>
    <col min="12039" max="12040" width="14.69921875" style="1665" customWidth="1"/>
    <col min="12041" max="12041" width="28.69921875" style="1665" customWidth="1"/>
    <col min="12042" max="12042" width="6.69921875" style="1665" customWidth="1"/>
    <col min="12043" max="12044" width="14.69921875" style="1665" customWidth="1"/>
    <col min="12045" max="12045" width="15.69921875" style="1665" customWidth="1"/>
    <col min="12046" max="12288" width="9.09765625" style="1665"/>
    <col min="12289" max="12292" width="9.765625E-2" style="1665" customWidth="1"/>
    <col min="12293" max="12293" width="28.69921875" style="1665" customWidth="1"/>
    <col min="12294" max="12294" width="6.69921875" style="1665" customWidth="1"/>
    <col min="12295" max="12296" width="14.69921875" style="1665" customWidth="1"/>
    <col min="12297" max="12297" width="28.69921875" style="1665" customWidth="1"/>
    <col min="12298" max="12298" width="6.69921875" style="1665" customWidth="1"/>
    <col min="12299" max="12300" width="14.69921875" style="1665" customWidth="1"/>
    <col min="12301" max="12301" width="15.69921875" style="1665" customWidth="1"/>
    <col min="12302" max="12544" width="9.09765625" style="1665"/>
    <col min="12545" max="12548" width="9.765625E-2" style="1665" customWidth="1"/>
    <col min="12549" max="12549" width="28.69921875" style="1665" customWidth="1"/>
    <col min="12550" max="12550" width="6.69921875" style="1665" customWidth="1"/>
    <col min="12551" max="12552" width="14.69921875" style="1665" customWidth="1"/>
    <col min="12553" max="12553" width="28.69921875" style="1665" customWidth="1"/>
    <col min="12554" max="12554" width="6.69921875" style="1665" customWidth="1"/>
    <col min="12555" max="12556" width="14.69921875" style="1665" customWidth="1"/>
    <col min="12557" max="12557" width="15.69921875" style="1665" customWidth="1"/>
    <col min="12558" max="12800" width="9.09765625" style="1665"/>
    <col min="12801" max="12804" width="9.765625E-2" style="1665" customWidth="1"/>
    <col min="12805" max="12805" width="28.69921875" style="1665" customWidth="1"/>
    <col min="12806" max="12806" width="6.69921875" style="1665" customWidth="1"/>
    <col min="12807" max="12808" width="14.69921875" style="1665" customWidth="1"/>
    <col min="12809" max="12809" width="28.69921875" style="1665" customWidth="1"/>
    <col min="12810" max="12810" width="6.69921875" style="1665" customWidth="1"/>
    <col min="12811" max="12812" width="14.69921875" style="1665" customWidth="1"/>
    <col min="12813" max="12813" width="15.69921875" style="1665" customWidth="1"/>
    <col min="12814" max="13056" width="9.09765625" style="1665"/>
    <col min="13057" max="13060" width="9.765625E-2" style="1665" customWidth="1"/>
    <col min="13061" max="13061" width="28.69921875" style="1665" customWidth="1"/>
    <col min="13062" max="13062" width="6.69921875" style="1665" customWidth="1"/>
    <col min="13063" max="13064" width="14.69921875" style="1665" customWidth="1"/>
    <col min="13065" max="13065" width="28.69921875" style="1665" customWidth="1"/>
    <col min="13066" max="13066" width="6.69921875" style="1665" customWidth="1"/>
    <col min="13067" max="13068" width="14.69921875" style="1665" customWidth="1"/>
    <col min="13069" max="13069" width="15.69921875" style="1665" customWidth="1"/>
    <col min="13070" max="13312" width="9.09765625" style="1665"/>
    <col min="13313" max="13316" width="9.765625E-2" style="1665" customWidth="1"/>
    <col min="13317" max="13317" width="28.69921875" style="1665" customWidth="1"/>
    <col min="13318" max="13318" width="6.69921875" style="1665" customWidth="1"/>
    <col min="13319" max="13320" width="14.69921875" style="1665" customWidth="1"/>
    <col min="13321" max="13321" width="28.69921875" style="1665" customWidth="1"/>
    <col min="13322" max="13322" width="6.69921875" style="1665" customWidth="1"/>
    <col min="13323" max="13324" width="14.69921875" style="1665" customWidth="1"/>
    <col min="13325" max="13325" width="15.69921875" style="1665" customWidth="1"/>
    <col min="13326" max="13568" width="9.09765625" style="1665"/>
    <col min="13569" max="13572" width="9.765625E-2" style="1665" customWidth="1"/>
    <col min="13573" max="13573" width="28.69921875" style="1665" customWidth="1"/>
    <col min="13574" max="13574" width="6.69921875" style="1665" customWidth="1"/>
    <col min="13575" max="13576" width="14.69921875" style="1665" customWidth="1"/>
    <col min="13577" max="13577" width="28.69921875" style="1665" customWidth="1"/>
    <col min="13578" max="13578" width="6.69921875" style="1665" customWidth="1"/>
    <col min="13579" max="13580" width="14.69921875" style="1665" customWidth="1"/>
    <col min="13581" max="13581" width="15.69921875" style="1665" customWidth="1"/>
    <col min="13582" max="13824" width="9.09765625" style="1665"/>
    <col min="13825" max="13828" width="9.765625E-2" style="1665" customWidth="1"/>
    <col min="13829" max="13829" width="28.69921875" style="1665" customWidth="1"/>
    <col min="13830" max="13830" width="6.69921875" style="1665" customWidth="1"/>
    <col min="13831" max="13832" width="14.69921875" style="1665" customWidth="1"/>
    <col min="13833" max="13833" width="28.69921875" style="1665" customWidth="1"/>
    <col min="13834" max="13834" width="6.69921875" style="1665" customWidth="1"/>
    <col min="13835" max="13836" width="14.69921875" style="1665" customWidth="1"/>
    <col min="13837" max="13837" width="15.69921875" style="1665" customWidth="1"/>
    <col min="13838" max="14080" width="9.09765625" style="1665"/>
    <col min="14081" max="14084" width="9.765625E-2" style="1665" customWidth="1"/>
    <col min="14085" max="14085" width="28.69921875" style="1665" customWidth="1"/>
    <col min="14086" max="14086" width="6.69921875" style="1665" customWidth="1"/>
    <col min="14087" max="14088" width="14.69921875" style="1665" customWidth="1"/>
    <col min="14089" max="14089" width="28.69921875" style="1665" customWidth="1"/>
    <col min="14090" max="14090" width="6.69921875" style="1665" customWidth="1"/>
    <col min="14091" max="14092" width="14.69921875" style="1665" customWidth="1"/>
    <col min="14093" max="14093" width="15.69921875" style="1665" customWidth="1"/>
    <col min="14094" max="14336" width="9.09765625" style="1665"/>
    <col min="14337" max="14340" width="9.765625E-2" style="1665" customWidth="1"/>
    <col min="14341" max="14341" width="28.69921875" style="1665" customWidth="1"/>
    <col min="14342" max="14342" width="6.69921875" style="1665" customWidth="1"/>
    <col min="14343" max="14344" width="14.69921875" style="1665" customWidth="1"/>
    <col min="14345" max="14345" width="28.69921875" style="1665" customWidth="1"/>
    <col min="14346" max="14346" width="6.69921875" style="1665" customWidth="1"/>
    <col min="14347" max="14348" width="14.69921875" style="1665" customWidth="1"/>
    <col min="14349" max="14349" width="15.69921875" style="1665" customWidth="1"/>
    <col min="14350" max="14592" width="9.09765625" style="1665"/>
    <col min="14593" max="14596" width="9.765625E-2" style="1665" customWidth="1"/>
    <col min="14597" max="14597" width="28.69921875" style="1665" customWidth="1"/>
    <col min="14598" max="14598" width="6.69921875" style="1665" customWidth="1"/>
    <col min="14599" max="14600" width="14.69921875" style="1665" customWidth="1"/>
    <col min="14601" max="14601" width="28.69921875" style="1665" customWidth="1"/>
    <col min="14602" max="14602" width="6.69921875" style="1665" customWidth="1"/>
    <col min="14603" max="14604" width="14.69921875" style="1665" customWidth="1"/>
    <col min="14605" max="14605" width="15.69921875" style="1665" customWidth="1"/>
    <col min="14606" max="14848" width="9.09765625" style="1665"/>
    <col min="14849" max="14852" width="9.765625E-2" style="1665" customWidth="1"/>
    <col min="14853" max="14853" width="28.69921875" style="1665" customWidth="1"/>
    <col min="14854" max="14854" width="6.69921875" style="1665" customWidth="1"/>
    <col min="14855" max="14856" width="14.69921875" style="1665" customWidth="1"/>
    <col min="14857" max="14857" width="28.69921875" style="1665" customWidth="1"/>
    <col min="14858" max="14858" width="6.69921875" style="1665" customWidth="1"/>
    <col min="14859" max="14860" width="14.69921875" style="1665" customWidth="1"/>
    <col min="14861" max="14861" width="15.69921875" style="1665" customWidth="1"/>
    <col min="14862" max="15104" width="9.09765625" style="1665"/>
    <col min="15105" max="15108" width="9.765625E-2" style="1665" customWidth="1"/>
    <col min="15109" max="15109" width="28.69921875" style="1665" customWidth="1"/>
    <col min="15110" max="15110" width="6.69921875" style="1665" customWidth="1"/>
    <col min="15111" max="15112" width="14.69921875" style="1665" customWidth="1"/>
    <col min="15113" max="15113" width="28.69921875" style="1665" customWidth="1"/>
    <col min="15114" max="15114" width="6.69921875" style="1665" customWidth="1"/>
    <col min="15115" max="15116" width="14.69921875" style="1665" customWidth="1"/>
    <col min="15117" max="15117" width="15.69921875" style="1665" customWidth="1"/>
    <col min="15118" max="15360" width="9.09765625" style="1665"/>
    <col min="15361" max="15364" width="9.765625E-2" style="1665" customWidth="1"/>
    <col min="15365" max="15365" width="28.69921875" style="1665" customWidth="1"/>
    <col min="15366" max="15366" width="6.69921875" style="1665" customWidth="1"/>
    <col min="15367" max="15368" width="14.69921875" style="1665" customWidth="1"/>
    <col min="15369" max="15369" width="28.69921875" style="1665" customWidth="1"/>
    <col min="15370" max="15370" width="6.69921875" style="1665" customWidth="1"/>
    <col min="15371" max="15372" width="14.69921875" style="1665" customWidth="1"/>
    <col min="15373" max="15373" width="15.69921875" style="1665" customWidth="1"/>
    <col min="15374" max="15616" width="9.09765625" style="1665"/>
    <col min="15617" max="15620" width="9.765625E-2" style="1665" customWidth="1"/>
    <col min="15621" max="15621" width="28.69921875" style="1665" customWidth="1"/>
    <col min="15622" max="15622" width="6.69921875" style="1665" customWidth="1"/>
    <col min="15623" max="15624" width="14.69921875" style="1665" customWidth="1"/>
    <col min="15625" max="15625" width="28.69921875" style="1665" customWidth="1"/>
    <col min="15626" max="15626" width="6.69921875" style="1665" customWidth="1"/>
    <col min="15627" max="15628" width="14.69921875" style="1665" customWidth="1"/>
    <col min="15629" max="15629" width="15.69921875" style="1665" customWidth="1"/>
    <col min="15630" max="15872" width="9.09765625" style="1665"/>
    <col min="15873" max="15876" width="9.765625E-2" style="1665" customWidth="1"/>
    <col min="15877" max="15877" width="28.69921875" style="1665" customWidth="1"/>
    <col min="15878" max="15878" width="6.69921875" style="1665" customWidth="1"/>
    <col min="15879" max="15880" width="14.69921875" style="1665" customWidth="1"/>
    <col min="15881" max="15881" width="28.69921875" style="1665" customWidth="1"/>
    <col min="15882" max="15882" width="6.69921875" style="1665" customWidth="1"/>
    <col min="15883" max="15884" width="14.69921875" style="1665" customWidth="1"/>
    <col min="15885" max="15885" width="15.69921875" style="1665" customWidth="1"/>
    <col min="15886" max="16128" width="9.09765625" style="1665"/>
    <col min="16129" max="16132" width="9.765625E-2" style="1665" customWidth="1"/>
    <col min="16133" max="16133" width="28.69921875" style="1665" customWidth="1"/>
    <col min="16134" max="16134" width="6.69921875" style="1665" customWidth="1"/>
    <col min="16135" max="16136" width="14.69921875" style="1665" customWidth="1"/>
    <col min="16137" max="16137" width="28.69921875" style="1665" customWidth="1"/>
    <col min="16138" max="16138" width="6.69921875" style="1665" customWidth="1"/>
    <col min="16139" max="16140" width="14.69921875" style="1665" customWidth="1"/>
    <col min="16141" max="16141" width="15.69921875" style="1665" customWidth="1"/>
    <col min="16142" max="16384" width="9.09765625" style="1665"/>
  </cols>
  <sheetData>
    <row r="1" spans="1:16">
      <c r="A1" s="2840"/>
      <c r="B1" s="2840"/>
      <c r="C1" s="2840"/>
      <c r="D1" s="2840"/>
      <c r="E1" s="1662"/>
      <c r="F1" s="1662"/>
      <c r="G1" s="1662"/>
      <c r="H1" s="1662"/>
      <c r="I1" s="1663"/>
      <c r="J1" s="1662"/>
      <c r="K1" s="1662"/>
      <c r="L1" s="1662"/>
      <c r="M1" s="1664"/>
      <c r="N1" s="1664"/>
      <c r="O1" s="1664"/>
      <c r="P1" s="1664"/>
    </row>
    <row r="2" spans="1:16" ht="25" customHeight="1">
      <c r="A2" s="2840"/>
      <c r="B2" s="2840"/>
      <c r="C2" s="2840"/>
      <c r="D2" s="2840"/>
      <c r="E2" s="3112" t="s">
        <v>5808</v>
      </c>
      <c r="F2" s="3112"/>
      <c r="G2" s="3112"/>
      <c r="H2" s="3112"/>
      <c r="I2" s="3112"/>
      <c r="J2" s="3112"/>
      <c r="K2" s="3112"/>
      <c r="L2" s="3112"/>
      <c r="M2" s="1664"/>
      <c r="N2" s="1664"/>
      <c r="O2" s="1664"/>
      <c r="P2" s="1664"/>
    </row>
    <row r="3" spans="1:16" ht="27" customHeight="1">
      <c r="A3" s="2840"/>
      <c r="B3" s="2840"/>
      <c r="C3" s="2840"/>
      <c r="D3" s="2840"/>
      <c r="E3" s="3113" t="str">
        <f>TEXT(Lead!$F$5,"yyyy 年 m 月 d 日")</f>
        <v>2019 年 12 月 31 日</v>
      </c>
      <c r="F3" s="3113"/>
      <c r="G3" s="3113"/>
      <c r="H3" s="3113"/>
      <c r="I3" s="3113"/>
      <c r="J3" s="3113"/>
      <c r="K3" s="3113"/>
      <c r="L3" s="3113"/>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6" customHeight="1" thickBot="1">
      <c r="A5" s="2840"/>
      <c r="B5" s="2840"/>
      <c r="C5" s="2840"/>
      <c r="D5" s="2840"/>
      <c r="E5" s="2012" t="str">
        <f>Lead!$B$5&amp;"："&amp;Lead!$C$5</f>
        <v>编制单位：余江县天骏投资管理有限公司</v>
      </c>
      <c r="F5" s="2013"/>
      <c r="G5" s="2013"/>
      <c r="H5" s="2013"/>
      <c r="I5" s="2013"/>
      <c r="J5" s="2013"/>
      <c r="K5" s="2013" t="s">
        <v>5751</v>
      </c>
      <c r="L5" s="2013" t="s">
        <v>5752</v>
      </c>
      <c r="M5" s="1664"/>
      <c r="N5" s="1664"/>
      <c r="O5" s="1664"/>
      <c r="P5" s="1664"/>
    </row>
    <row r="6" spans="1:16" ht="18" customHeight="1">
      <c r="A6" s="2885" t="s">
        <v>5811</v>
      </c>
      <c r="B6" s="2885" t="s">
        <v>2557</v>
      </c>
      <c r="C6" s="2885" t="s">
        <v>5812</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15480.77</v>
      </c>
      <c r="H8" s="2018">
        <f t="shared" si="4"/>
        <v>17805.68</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8"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0</v>
      </c>
      <c r="I13" s="2019" t="str">
        <f t="shared" si="5"/>
        <v>应付账款</v>
      </c>
      <c r="J13" s="2016"/>
      <c r="K13" s="2017">
        <f t="shared" si="6"/>
        <v>0</v>
      </c>
      <c r="L13" s="2029">
        <f t="shared" si="7"/>
        <v>0</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0</v>
      </c>
      <c r="I15" s="2019" t="str">
        <f t="shared" si="5"/>
        <v>应付职工薪酬</v>
      </c>
      <c r="J15" s="2016"/>
      <c r="K15" s="2017">
        <f t="shared" si="6"/>
        <v>0</v>
      </c>
      <c r="L15" s="2029">
        <f t="shared" si="7"/>
        <v>0</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0</v>
      </c>
      <c r="I16" s="2019" t="str">
        <f t="shared" si="5"/>
        <v>应交税费</v>
      </c>
      <c r="J16" s="2016"/>
      <c r="K16" s="2017">
        <f t="shared" si="6"/>
        <v>0</v>
      </c>
      <c r="L16" s="2029">
        <f t="shared" si="7"/>
        <v>0</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20000</v>
      </c>
      <c r="L17" s="2029">
        <f t="shared" si="7"/>
        <v>20000</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480</v>
      </c>
      <c r="H22" s="2018">
        <f t="shared" si="4"/>
        <v>480</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15960.77</v>
      </c>
      <c r="H23" s="2018">
        <f>SUM(H8:H22)-SUM(H17,H18)</f>
        <v>18285.68</v>
      </c>
      <c r="I23" s="2021" t="str">
        <f t="shared" si="5"/>
        <v>流动负债合计</v>
      </c>
      <c r="J23" s="2016"/>
      <c r="K23" s="2017">
        <f>SUM(K8:K22)-SUM(K18,K19)</f>
        <v>20000</v>
      </c>
      <c r="L23" s="2029">
        <f>SUM(L8:L22)-SUM(L18,L19)</f>
        <v>20000</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0</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20000</v>
      </c>
      <c r="L36" s="2029">
        <f>SUM(L23,L35)</f>
        <v>20000</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0</v>
      </c>
      <c r="L38" s="2029">
        <f t="shared" si="13"/>
        <v>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0</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0</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-4039.23</v>
      </c>
      <c r="L48" s="2029">
        <f t="shared" si="13"/>
        <v>-1714.32</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0</v>
      </c>
      <c r="I49" s="2025" t="str">
        <f t="shared" si="5"/>
        <v>所有者权益合计</v>
      </c>
      <c r="J49" s="2016"/>
      <c r="K49" s="2017">
        <f>SUM(K38:K39,K42,-K43,K44:K48)</f>
        <v>-4039.23</v>
      </c>
      <c r="L49" s="2029">
        <f>SUM(L38:L39,L42,-L43,L44:L48)</f>
        <v>-1714.32</v>
      </c>
      <c r="M49" s="1850"/>
      <c r="N49" s="1850"/>
      <c r="O49" s="1850"/>
      <c r="P49" s="1850"/>
    </row>
    <row r="50" spans="1:16" s="1851" customFormat="1" ht="17.5" thickBot="1">
      <c r="A50" s="2863" t="str">
        <f t="shared" si="0"/>
        <v>＝</v>
      </c>
      <c r="B50" s="2863" t="str">
        <f t="shared" si="1"/>
        <v>＝</v>
      </c>
      <c r="C50" s="2891">
        <v>1999</v>
      </c>
      <c r="D50" s="2892">
        <v>5000</v>
      </c>
      <c r="E50" s="2894" t="str">
        <f t="shared" si="2"/>
        <v>资产总计</v>
      </c>
      <c r="F50" s="2033"/>
      <c r="G50" s="2034">
        <f>SUM(G23,G49)</f>
        <v>15960.77</v>
      </c>
      <c r="H50" s="2035">
        <f>SUM(H23,H49)</f>
        <v>18285.68</v>
      </c>
      <c r="I50" s="2036" t="str">
        <f t="shared" si="5"/>
        <v>负债和所有者权益总计</v>
      </c>
      <c r="J50" s="2033"/>
      <c r="K50" s="2034">
        <f>SUM(K36,K49)</f>
        <v>15960.77</v>
      </c>
      <c r="L50" s="2037">
        <f>SUM(L36,L49)</f>
        <v>18285.68</v>
      </c>
      <c r="M50" s="1850"/>
      <c r="N50" s="1850"/>
      <c r="O50" s="1850"/>
      <c r="P50" s="1850"/>
    </row>
    <row r="51" spans="1:16" s="1851" customFormat="1" ht="17">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49999999999999"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5">
      <c r="A55" s="2885" t="s">
        <v>2565</v>
      </c>
      <c r="B55" s="2885"/>
      <c r="C55" s="2885"/>
      <c r="D55" s="2885"/>
      <c r="E55" s="1853" t="s">
        <v>5814</v>
      </c>
      <c r="F55" s="1854"/>
      <c r="G55" s="1855"/>
      <c r="H55" s="1855"/>
      <c r="I55" s="1855"/>
      <c r="J55" s="1855"/>
      <c r="K55" s="1855"/>
      <c r="L55" s="1856"/>
      <c r="M55" s="1857"/>
      <c r="N55" s="1850"/>
      <c r="O55" s="1850"/>
      <c r="P55" s="1850"/>
    </row>
    <row r="56" spans="1:16" s="1851" customFormat="1" ht="15">
      <c r="A56" s="2885" t="s">
        <v>2565</v>
      </c>
      <c r="B56" s="2885"/>
      <c r="C56" s="2885"/>
      <c r="D56" s="2885"/>
      <c r="E56" s="1858" t="s">
        <v>5815</v>
      </c>
      <c r="F56" s="1855"/>
      <c r="G56" s="1855"/>
      <c r="H56" s="1855" t="s">
        <v>5816</v>
      </c>
      <c r="I56" s="1855" t="s">
        <v>5756</v>
      </c>
      <c r="J56" s="1859"/>
      <c r="K56" s="1855" t="s">
        <v>5757</v>
      </c>
      <c r="L56" s="1860" t="s">
        <v>2550</v>
      </c>
      <c r="M56" s="1857"/>
      <c r="N56" s="1850"/>
      <c r="O56" s="1850"/>
      <c r="P56" s="1850"/>
    </row>
    <row r="57" spans="1:16" s="1851" customFormat="1" ht="17">
      <c r="A57" s="2889" t="s">
        <v>2565</v>
      </c>
      <c r="B57" s="2885"/>
      <c r="C57" s="2885"/>
      <c r="D57" s="2885"/>
      <c r="E57" s="1861" t="s">
        <v>5817</v>
      </c>
      <c r="F57" s="1862"/>
      <c r="G57" s="1863"/>
      <c r="H57" s="1864"/>
      <c r="I57" s="1865"/>
      <c r="J57" s="1863"/>
      <c r="K57" s="1866"/>
      <c r="L57" s="1867"/>
      <c r="M57" s="1857"/>
      <c r="N57" s="1850"/>
      <c r="O57" s="1850"/>
      <c r="P57" s="1850"/>
    </row>
    <row r="58" spans="1:16" s="1851" customFormat="1" ht="17">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7">
      <c r="A59" s="2889" t="s">
        <v>2565</v>
      </c>
      <c r="B59" s="2885"/>
      <c r="C59" s="2885"/>
      <c r="D59" s="2885"/>
      <c r="E59" s="1871" t="str">
        <f>E50</f>
        <v>资产总计</v>
      </c>
      <c r="F59" s="1872"/>
      <c r="G59" s="1863"/>
      <c r="H59" s="1864">
        <f>G50</f>
        <v>15960.77</v>
      </c>
      <c r="I59" s="1865" t="str">
        <f>I50</f>
        <v>负债和所有者权益总计</v>
      </c>
      <c r="J59" s="1863"/>
      <c r="K59" s="1873">
        <f>K50</f>
        <v>15960.77</v>
      </c>
      <c r="L59" s="1867">
        <f>ROUND(H59-K59,2)</f>
        <v>0</v>
      </c>
      <c r="M59" s="1874" t="str">
        <f>IF(L59=0,"√","×")</f>
        <v>√</v>
      </c>
      <c r="N59" s="1850"/>
      <c r="O59" s="1850"/>
      <c r="P59" s="1850"/>
    </row>
    <row r="60" spans="1:16" s="1851" customFormat="1" ht="17">
      <c r="A60" s="2889" t="s">
        <v>2565</v>
      </c>
      <c r="B60" s="2885"/>
      <c r="C60" s="2885"/>
      <c r="D60" s="2885"/>
      <c r="E60" s="1875" t="str">
        <f>$H$6</f>
        <v>2018年12月31日</v>
      </c>
      <c r="F60" s="1876"/>
      <c r="G60" s="1863"/>
      <c r="H60" s="1865"/>
      <c r="I60" s="1865"/>
      <c r="J60" s="1863"/>
      <c r="K60" s="1866"/>
      <c r="L60" s="1870"/>
      <c r="M60" s="1877"/>
    </row>
    <row r="61" spans="1:16" s="1851" customFormat="1" ht="17.5" thickBot="1">
      <c r="A61" s="2889" t="s">
        <v>2565</v>
      </c>
      <c r="B61" s="2885"/>
      <c r="C61" s="2885"/>
      <c r="D61" s="2885"/>
      <c r="E61" s="1878" t="str">
        <f>E50</f>
        <v>资产总计</v>
      </c>
      <c r="F61" s="1879"/>
      <c r="G61" s="1880"/>
      <c r="H61" s="1881">
        <f>H50</f>
        <v>18285.68</v>
      </c>
      <c r="I61" s="1882" t="str">
        <f>I50</f>
        <v>负债和所有者权益总计</v>
      </c>
      <c r="J61" s="1880"/>
      <c r="K61" s="1883">
        <f>L50</f>
        <v>18285.68</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74" priority="108" stopIfTrue="1">
      <formula>#REF!=TRUE</formula>
    </cfRule>
  </conditionalFormatting>
  <conditionalFormatting sqref="L60 L58 L62">
    <cfRule type="cellIs" dxfId="4073" priority="107" stopIfTrue="1" operator="notEqual">
      <formula>0</formula>
    </cfRule>
  </conditionalFormatting>
  <conditionalFormatting sqref="E55:F55">
    <cfRule type="expression" dxfId="4072" priority="106" stopIfTrue="1">
      <formula>#REF!=TRUE</formula>
    </cfRule>
  </conditionalFormatting>
  <conditionalFormatting sqref="L59 L57 L61">
    <cfRule type="cellIs" dxfId="4071" priority="105" stopIfTrue="1" operator="notEqual">
      <formula>0</formula>
    </cfRule>
  </conditionalFormatting>
  <conditionalFormatting sqref="E55:F55">
    <cfRule type="expression" dxfId="4070" priority="104" stopIfTrue="1">
      <formula>#REF!=TRUE</formula>
    </cfRule>
  </conditionalFormatting>
  <conditionalFormatting sqref="L59 L57 L61">
    <cfRule type="cellIs" dxfId="4069" priority="103" stopIfTrue="1" operator="notEqual">
      <formula>0</formula>
    </cfRule>
  </conditionalFormatting>
  <conditionalFormatting sqref="E56:F56">
    <cfRule type="expression" dxfId="4068" priority="102" stopIfTrue="1">
      <formula>#REF!=TRUE</formula>
    </cfRule>
  </conditionalFormatting>
  <conditionalFormatting sqref="L60 L58">
    <cfRule type="cellIs" dxfId="4067" priority="101" stopIfTrue="1" operator="notEqual">
      <formula>0</formula>
    </cfRule>
  </conditionalFormatting>
  <conditionalFormatting sqref="E55:F55">
    <cfRule type="expression" dxfId="4066" priority="100" stopIfTrue="1">
      <formula>#REF!=TRUE</formula>
    </cfRule>
  </conditionalFormatting>
  <conditionalFormatting sqref="L59 L57 L61">
    <cfRule type="cellIs" dxfId="4065" priority="99" stopIfTrue="1" operator="notEqual">
      <formula>0</formula>
    </cfRule>
  </conditionalFormatting>
  <conditionalFormatting sqref="E55:F55">
    <cfRule type="expression" dxfId="4064" priority="98" stopIfTrue="1">
      <formula>#REF!=TRUE</formula>
    </cfRule>
  </conditionalFormatting>
  <conditionalFormatting sqref="L59 L57 L61">
    <cfRule type="cellIs" dxfId="4063" priority="97" stopIfTrue="1" operator="notEqual">
      <formula>0</formula>
    </cfRule>
  </conditionalFormatting>
  <conditionalFormatting sqref="E56:F56">
    <cfRule type="expression" dxfId="4062" priority="96" stopIfTrue="1">
      <formula>#REF!=TRUE</formula>
    </cfRule>
  </conditionalFormatting>
  <conditionalFormatting sqref="L60 L58">
    <cfRule type="cellIs" dxfId="4061" priority="95" stopIfTrue="1" operator="notEqual">
      <formula>0</formula>
    </cfRule>
  </conditionalFormatting>
  <conditionalFormatting sqref="E55:F55">
    <cfRule type="expression" dxfId="4060" priority="94" stopIfTrue="1">
      <formula>#REF!=TRUE</formula>
    </cfRule>
  </conditionalFormatting>
  <conditionalFormatting sqref="L59 L57 L61">
    <cfRule type="cellIs" dxfId="4059" priority="93" stopIfTrue="1" operator="notEqual">
      <formula>0</formula>
    </cfRule>
  </conditionalFormatting>
  <conditionalFormatting sqref="E55:F55">
    <cfRule type="expression" dxfId="4058" priority="92" stopIfTrue="1">
      <formula>#REF!=TRUE</formula>
    </cfRule>
  </conditionalFormatting>
  <conditionalFormatting sqref="L59 L57 L61">
    <cfRule type="cellIs" dxfId="4057" priority="91" stopIfTrue="1" operator="notEqual">
      <formula>0</formula>
    </cfRule>
  </conditionalFormatting>
  <conditionalFormatting sqref="E56:F56">
    <cfRule type="expression" dxfId="4056" priority="90" stopIfTrue="1">
      <formula>#REF!=TRUE</formula>
    </cfRule>
  </conditionalFormatting>
  <conditionalFormatting sqref="L60 L58">
    <cfRule type="cellIs" dxfId="4055" priority="89" stopIfTrue="1" operator="notEqual">
      <formula>0</formula>
    </cfRule>
  </conditionalFormatting>
  <conditionalFormatting sqref="E55:F55">
    <cfRule type="expression" dxfId="4054" priority="88" stopIfTrue="1">
      <formula>#REF!=TRUE</formula>
    </cfRule>
  </conditionalFormatting>
  <conditionalFormatting sqref="L59 L57 L61">
    <cfRule type="cellIs" dxfId="4053" priority="87" stopIfTrue="1" operator="notEqual">
      <formula>0</formula>
    </cfRule>
  </conditionalFormatting>
  <conditionalFormatting sqref="E55:F55">
    <cfRule type="expression" dxfId="4052" priority="86" stopIfTrue="1">
      <formula>#REF!=TRUE</formula>
    </cfRule>
  </conditionalFormatting>
  <conditionalFormatting sqref="L59 L57 L61">
    <cfRule type="cellIs" dxfId="4051" priority="85" stopIfTrue="1" operator="notEqual">
      <formula>0</formula>
    </cfRule>
  </conditionalFormatting>
  <conditionalFormatting sqref="E56:F56">
    <cfRule type="expression" dxfId="4050" priority="84" stopIfTrue="1">
      <formula>#REF!=TRUE</formula>
    </cfRule>
  </conditionalFormatting>
  <conditionalFormatting sqref="L57:L61">
    <cfRule type="cellIs" dxfId="4049" priority="83" stopIfTrue="1" operator="notEqual">
      <formula>0</formula>
    </cfRule>
  </conditionalFormatting>
  <conditionalFormatting sqref="E55:F56">
    <cfRule type="expression" dxfId="4048" priority="82" stopIfTrue="1">
      <formula>#REF!=TRUE</formula>
    </cfRule>
  </conditionalFormatting>
  <conditionalFormatting sqref="E56:F56">
    <cfRule type="expression" dxfId="4047" priority="81" stopIfTrue="1">
      <formula>#REF!=TRUE</formula>
    </cfRule>
  </conditionalFormatting>
  <conditionalFormatting sqref="L60 L58">
    <cfRule type="cellIs" dxfId="4046" priority="80" stopIfTrue="1" operator="notEqual">
      <formula>0</formula>
    </cfRule>
  </conditionalFormatting>
  <conditionalFormatting sqref="E55:F55">
    <cfRule type="expression" dxfId="4045" priority="79" stopIfTrue="1">
      <formula>#REF!=TRUE</formula>
    </cfRule>
  </conditionalFormatting>
  <conditionalFormatting sqref="L59 L57 L61">
    <cfRule type="cellIs" dxfId="4044" priority="78" stopIfTrue="1" operator="notEqual">
      <formula>0</formula>
    </cfRule>
  </conditionalFormatting>
  <conditionalFormatting sqref="E55:F55">
    <cfRule type="expression" dxfId="4043" priority="77" stopIfTrue="1">
      <formula>#REF!=TRUE</formula>
    </cfRule>
  </conditionalFormatting>
  <conditionalFormatting sqref="L59 L57 L61">
    <cfRule type="cellIs" dxfId="4042" priority="76" stopIfTrue="1" operator="notEqual">
      <formula>0</formula>
    </cfRule>
  </conditionalFormatting>
  <conditionalFormatting sqref="E56:F56">
    <cfRule type="expression" dxfId="4041" priority="75" stopIfTrue="1">
      <formula>#REF!=TRUE</formula>
    </cfRule>
  </conditionalFormatting>
  <conditionalFormatting sqref="L60 L58">
    <cfRule type="cellIs" dxfId="4040" priority="74" stopIfTrue="1" operator="notEqual">
      <formula>0</formula>
    </cfRule>
  </conditionalFormatting>
  <conditionalFormatting sqref="E55:F55">
    <cfRule type="expression" dxfId="4039" priority="73" stopIfTrue="1">
      <formula>#REF!=TRUE</formula>
    </cfRule>
  </conditionalFormatting>
  <conditionalFormatting sqref="L59 L57 L61">
    <cfRule type="cellIs" dxfId="4038" priority="72" stopIfTrue="1" operator="notEqual">
      <formula>0</formula>
    </cfRule>
  </conditionalFormatting>
  <conditionalFormatting sqref="E55:F55">
    <cfRule type="expression" dxfId="4037" priority="71" stopIfTrue="1">
      <formula>#REF!=TRUE</formula>
    </cfRule>
  </conditionalFormatting>
  <conditionalFormatting sqref="L59 L57 L61">
    <cfRule type="cellIs" dxfId="4036" priority="70" stopIfTrue="1" operator="notEqual">
      <formula>0</formula>
    </cfRule>
  </conditionalFormatting>
  <conditionalFormatting sqref="E56:F56">
    <cfRule type="expression" dxfId="4035" priority="69" stopIfTrue="1">
      <formula>#REF!=TRUE</formula>
    </cfRule>
  </conditionalFormatting>
  <conditionalFormatting sqref="L60 L58">
    <cfRule type="cellIs" dxfId="4034" priority="68" stopIfTrue="1" operator="notEqual">
      <formula>0</formula>
    </cfRule>
  </conditionalFormatting>
  <conditionalFormatting sqref="E55:F55">
    <cfRule type="expression" dxfId="4033" priority="67" stopIfTrue="1">
      <formula>#REF!=TRUE</formula>
    </cfRule>
  </conditionalFormatting>
  <conditionalFormatting sqref="L59 L57 L61">
    <cfRule type="cellIs" dxfId="4032" priority="66" stopIfTrue="1" operator="notEqual">
      <formula>0</formula>
    </cfRule>
  </conditionalFormatting>
  <conditionalFormatting sqref="E55:F55">
    <cfRule type="expression" dxfId="4031" priority="65" stopIfTrue="1">
      <formula>#REF!=TRUE</formula>
    </cfRule>
  </conditionalFormatting>
  <conditionalFormatting sqref="L59 L57 L61">
    <cfRule type="cellIs" dxfId="4030" priority="64" stopIfTrue="1" operator="notEqual">
      <formula>0</formula>
    </cfRule>
  </conditionalFormatting>
  <conditionalFormatting sqref="E56:F56">
    <cfRule type="expression" dxfId="4029" priority="63" stopIfTrue="1">
      <formula>#REF!=TRUE</formula>
    </cfRule>
  </conditionalFormatting>
  <conditionalFormatting sqref="L60 L58">
    <cfRule type="cellIs" dxfId="4028" priority="62" stopIfTrue="1" operator="notEqual">
      <formula>0</formula>
    </cfRule>
  </conditionalFormatting>
  <conditionalFormatting sqref="E55:F55">
    <cfRule type="expression" dxfId="4027" priority="61" stopIfTrue="1">
      <formula>#REF!=TRUE</formula>
    </cfRule>
  </conditionalFormatting>
  <conditionalFormatting sqref="L59 L57 L61">
    <cfRule type="cellIs" dxfId="4026" priority="60" stopIfTrue="1" operator="notEqual">
      <formula>0</formula>
    </cfRule>
  </conditionalFormatting>
  <conditionalFormatting sqref="E55:F55">
    <cfRule type="expression" dxfId="4025" priority="59" stopIfTrue="1">
      <formula>#REF!=TRUE</formula>
    </cfRule>
  </conditionalFormatting>
  <conditionalFormatting sqref="L59 L57 L61">
    <cfRule type="cellIs" dxfId="4024" priority="58" stopIfTrue="1" operator="notEqual">
      <formula>0</formula>
    </cfRule>
  </conditionalFormatting>
  <conditionalFormatting sqref="E56:F56">
    <cfRule type="expression" dxfId="4023" priority="57" stopIfTrue="1">
      <formula>#REF!=TRUE</formula>
    </cfRule>
  </conditionalFormatting>
  <conditionalFormatting sqref="L57:L61">
    <cfRule type="cellIs" dxfId="4022" priority="56" stopIfTrue="1" operator="notEqual">
      <formula>0</formula>
    </cfRule>
  </conditionalFormatting>
  <conditionalFormatting sqref="E55:F56">
    <cfRule type="expression" dxfId="4021" priority="55" stopIfTrue="1">
      <formula>#REF!=TRUE</formula>
    </cfRule>
  </conditionalFormatting>
  <conditionalFormatting sqref="E56:F56">
    <cfRule type="expression" dxfId="4020" priority="54" stopIfTrue="1">
      <formula>#REF!=TRUE</formula>
    </cfRule>
  </conditionalFormatting>
  <conditionalFormatting sqref="L60 L58">
    <cfRule type="cellIs" dxfId="4019" priority="53" stopIfTrue="1" operator="notEqual">
      <formula>0</formula>
    </cfRule>
  </conditionalFormatting>
  <conditionalFormatting sqref="E55:F55">
    <cfRule type="expression" dxfId="4018" priority="52" stopIfTrue="1">
      <formula>#REF!=TRUE</formula>
    </cfRule>
  </conditionalFormatting>
  <conditionalFormatting sqref="L59 L57 L61">
    <cfRule type="cellIs" dxfId="4017" priority="51" stopIfTrue="1" operator="notEqual">
      <formula>0</formula>
    </cfRule>
  </conditionalFormatting>
  <conditionalFormatting sqref="E55:F55">
    <cfRule type="expression" dxfId="4016" priority="50" stopIfTrue="1">
      <formula>#REF!=TRUE</formula>
    </cfRule>
  </conditionalFormatting>
  <conditionalFormatting sqref="L59 L57 L61">
    <cfRule type="cellIs" dxfId="4015" priority="49" stopIfTrue="1" operator="notEqual">
      <formula>0</formula>
    </cfRule>
  </conditionalFormatting>
  <conditionalFormatting sqref="E56:F56">
    <cfRule type="expression" dxfId="4014" priority="48" stopIfTrue="1">
      <formula>#REF!=TRUE</formula>
    </cfRule>
  </conditionalFormatting>
  <conditionalFormatting sqref="L60 L58">
    <cfRule type="cellIs" dxfId="4013" priority="47" stopIfTrue="1" operator="notEqual">
      <formula>0</formula>
    </cfRule>
  </conditionalFormatting>
  <conditionalFormatting sqref="E55:F55">
    <cfRule type="expression" dxfId="4012" priority="46" stopIfTrue="1">
      <formula>#REF!=TRUE</formula>
    </cfRule>
  </conditionalFormatting>
  <conditionalFormatting sqref="L59 L57 L61">
    <cfRule type="cellIs" dxfId="4011" priority="45" stopIfTrue="1" operator="notEqual">
      <formula>0</formula>
    </cfRule>
  </conditionalFormatting>
  <conditionalFormatting sqref="E55:F55">
    <cfRule type="expression" dxfId="4010" priority="44" stopIfTrue="1">
      <formula>#REF!=TRUE</formula>
    </cfRule>
  </conditionalFormatting>
  <conditionalFormatting sqref="L59 L57 L61">
    <cfRule type="cellIs" dxfId="4009" priority="43" stopIfTrue="1" operator="notEqual">
      <formula>0</formula>
    </cfRule>
  </conditionalFormatting>
  <conditionalFormatting sqref="E56:F56">
    <cfRule type="expression" dxfId="4008" priority="42" stopIfTrue="1">
      <formula>#REF!=TRUE</formula>
    </cfRule>
  </conditionalFormatting>
  <conditionalFormatting sqref="L60 L58">
    <cfRule type="cellIs" dxfId="4007" priority="41" stopIfTrue="1" operator="notEqual">
      <formula>0</formula>
    </cfRule>
  </conditionalFormatting>
  <conditionalFormatting sqref="E55:F55">
    <cfRule type="expression" dxfId="4006" priority="40" stopIfTrue="1">
      <formula>#REF!=TRUE</formula>
    </cfRule>
  </conditionalFormatting>
  <conditionalFormatting sqref="L59 L57 L61">
    <cfRule type="cellIs" dxfId="4005" priority="39" stopIfTrue="1" operator="notEqual">
      <formula>0</formula>
    </cfRule>
  </conditionalFormatting>
  <conditionalFormatting sqref="E55:F55">
    <cfRule type="expression" dxfId="4004" priority="38" stopIfTrue="1">
      <formula>#REF!=TRUE</formula>
    </cfRule>
  </conditionalFormatting>
  <conditionalFormatting sqref="L59 L57 L61">
    <cfRule type="cellIs" dxfId="4003" priority="37" stopIfTrue="1" operator="notEqual">
      <formula>0</formula>
    </cfRule>
  </conditionalFormatting>
  <conditionalFormatting sqref="E56:F56">
    <cfRule type="expression" dxfId="4002" priority="36" stopIfTrue="1">
      <formula>#REF!=TRUE</formula>
    </cfRule>
  </conditionalFormatting>
  <conditionalFormatting sqref="L60 L58">
    <cfRule type="cellIs" dxfId="4001" priority="35" stopIfTrue="1" operator="notEqual">
      <formula>0</formula>
    </cfRule>
  </conditionalFormatting>
  <conditionalFormatting sqref="E55:F55">
    <cfRule type="expression" dxfId="4000" priority="34" stopIfTrue="1">
      <formula>#REF!=TRUE</formula>
    </cfRule>
  </conditionalFormatting>
  <conditionalFormatting sqref="L59 L57 L61">
    <cfRule type="cellIs" dxfId="3999" priority="33" stopIfTrue="1" operator="notEqual">
      <formula>0</formula>
    </cfRule>
  </conditionalFormatting>
  <conditionalFormatting sqref="E55:F55">
    <cfRule type="expression" dxfId="3998" priority="32" stopIfTrue="1">
      <formula>#REF!=TRUE</formula>
    </cfRule>
  </conditionalFormatting>
  <conditionalFormatting sqref="L59 L57 L61">
    <cfRule type="cellIs" dxfId="3997" priority="31" stopIfTrue="1" operator="notEqual">
      <formula>0</formula>
    </cfRule>
  </conditionalFormatting>
  <conditionalFormatting sqref="E56:F56">
    <cfRule type="expression" dxfId="3996" priority="30" stopIfTrue="1">
      <formula>#REF!=TRUE</formula>
    </cfRule>
  </conditionalFormatting>
  <conditionalFormatting sqref="L57:L61">
    <cfRule type="cellIs" dxfId="3995" priority="29" stopIfTrue="1" operator="notEqual">
      <formula>0</formula>
    </cfRule>
  </conditionalFormatting>
  <conditionalFormatting sqref="E55:F56">
    <cfRule type="expression" dxfId="3994" priority="28" stopIfTrue="1">
      <formula>#REF!=TRUE</formula>
    </cfRule>
  </conditionalFormatting>
  <conditionalFormatting sqref="E56:F56">
    <cfRule type="expression" dxfId="3993" priority="27" stopIfTrue="1">
      <formula>#REF!=TRUE</formula>
    </cfRule>
  </conditionalFormatting>
  <conditionalFormatting sqref="L60 L58">
    <cfRule type="cellIs" dxfId="3992" priority="26" stopIfTrue="1" operator="notEqual">
      <formula>0</formula>
    </cfRule>
  </conditionalFormatting>
  <conditionalFormatting sqref="E55:F55">
    <cfRule type="expression" dxfId="3991" priority="25" stopIfTrue="1">
      <formula>#REF!=TRUE</formula>
    </cfRule>
  </conditionalFormatting>
  <conditionalFormatting sqref="L59 L57 L61">
    <cfRule type="cellIs" dxfId="3990" priority="24" stopIfTrue="1" operator="notEqual">
      <formula>0</formula>
    </cfRule>
  </conditionalFormatting>
  <conditionalFormatting sqref="E55:F55">
    <cfRule type="expression" dxfId="3989" priority="23" stopIfTrue="1">
      <formula>#REF!=TRUE</formula>
    </cfRule>
  </conditionalFormatting>
  <conditionalFormatting sqref="L59 L57 L61">
    <cfRule type="cellIs" dxfId="3988" priority="22" stopIfTrue="1" operator="notEqual">
      <formula>0</formula>
    </cfRule>
  </conditionalFormatting>
  <conditionalFormatting sqref="E56:F56">
    <cfRule type="expression" dxfId="3987" priority="21" stopIfTrue="1">
      <formula>#REF!=TRUE</formula>
    </cfRule>
  </conditionalFormatting>
  <conditionalFormatting sqref="L60 L58">
    <cfRule type="cellIs" dxfId="3986" priority="20" stopIfTrue="1" operator="notEqual">
      <formula>0</formula>
    </cfRule>
  </conditionalFormatting>
  <conditionalFormatting sqref="E55:F55">
    <cfRule type="expression" dxfId="3985" priority="19" stopIfTrue="1">
      <formula>#REF!=TRUE</formula>
    </cfRule>
  </conditionalFormatting>
  <conditionalFormatting sqref="L59 L57 L61">
    <cfRule type="cellIs" dxfId="3984" priority="18" stopIfTrue="1" operator="notEqual">
      <formula>0</formula>
    </cfRule>
  </conditionalFormatting>
  <conditionalFormatting sqref="E55:F55">
    <cfRule type="expression" dxfId="3983" priority="17" stopIfTrue="1">
      <formula>#REF!=TRUE</formula>
    </cfRule>
  </conditionalFormatting>
  <conditionalFormatting sqref="L59 L57 L61">
    <cfRule type="cellIs" dxfId="3982" priority="16" stopIfTrue="1" operator="notEqual">
      <formula>0</formula>
    </cfRule>
  </conditionalFormatting>
  <conditionalFormatting sqref="E56:F56">
    <cfRule type="expression" dxfId="3981" priority="15" stopIfTrue="1">
      <formula>#REF!=TRUE</formula>
    </cfRule>
  </conditionalFormatting>
  <conditionalFormatting sqref="L60 L58">
    <cfRule type="cellIs" dxfId="3980" priority="14" stopIfTrue="1" operator="notEqual">
      <formula>0</formula>
    </cfRule>
  </conditionalFormatting>
  <conditionalFormatting sqref="E55:F55">
    <cfRule type="expression" dxfId="3979" priority="13" stopIfTrue="1">
      <formula>#REF!=TRUE</formula>
    </cfRule>
  </conditionalFormatting>
  <conditionalFormatting sqref="L59 L57 L61">
    <cfRule type="cellIs" dxfId="3978" priority="12" stopIfTrue="1" operator="notEqual">
      <formula>0</formula>
    </cfRule>
  </conditionalFormatting>
  <conditionalFormatting sqref="E55:F55">
    <cfRule type="expression" dxfId="3977" priority="11" stopIfTrue="1">
      <formula>#REF!=TRUE</formula>
    </cfRule>
  </conditionalFormatting>
  <conditionalFormatting sqref="L59 L57 L61">
    <cfRule type="cellIs" dxfId="3976" priority="10" stopIfTrue="1" operator="notEqual">
      <formula>0</formula>
    </cfRule>
  </conditionalFormatting>
  <conditionalFormatting sqref="E56:F56">
    <cfRule type="expression" dxfId="3975" priority="9" stopIfTrue="1">
      <formula>#REF!=TRUE</formula>
    </cfRule>
  </conditionalFormatting>
  <conditionalFormatting sqref="L60 L58">
    <cfRule type="cellIs" dxfId="3974" priority="8" stopIfTrue="1" operator="notEqual">
      <formula>0</formula>
    </cfRule>
  </conditionalFormatting>
  <conditionalFormatting sqref="E55:F55">
    <cfRule type="expression" dxfId="3973" priority="7" stopIfTrue="1">
      <formula>#REF!=TRUE</formula>
    </cfRule>
  </conditionalFormatting>
  <conditionalFormatting sqref="L59 L57 L61">
    <cfRule type="cellIs" dxfId="3972" priority="6" stopIfTrue="1" operator="notEqual">
      <formula>0</formula>
    </cfRule>
  </conditionalFormatting>
  <conditionalFormatting sqref="E55:F55">
    <cfRule type="expression" dxfId="3971" priority="5" stopIfTrue="1">
      <formula>#REF!=TRUE</formula>
    </cfRule>
  </conditionalFormatting>
  <conditionalFormatting sqref="L59 L57 L61">
    <cfRule type="cellIs" dxfId="3970" priority="4" stopIfTrue="1" operator="notEqual">
      <formula>0</formula>
    </cfRule>
  </conditionalFormatting>
  <conditionalFormatting sqref="E56:F56">
    <cfRule type="expression" dxfId="3969" priority="3" stopIfTrue="1">
      <formula>#REF!=TRUE</formula>
    </cfRule>
  </conditionalFormatting>
  <conditionalFormatting sqref="L57:L61">
    <cfRule type="cellIs" dxfId="3968" priority="2" stopIfTrue="1" operator="notEqual">
      <formula>0</formula>
    </cfRule>
  </conditionalFormatting>
  <conditionalFormatting sqref="E55:F56">
    <cfRule type="expression" dxfId="3967"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58" workbookViewId="0">
      <selection activeCell="F32" sqref="F32"/>
    </sheetView>
  </sheetViews>
  <sheetFormatPr defaultRowHeight="13"/>
  <cols>
    <col min="1" max="2" width="9.765625E-2" style="2797" customWidth="1"/>
    <col min="3" max="3" width="70.69921875" style="1665" customWidth="1"/>
    <col min="4" max="4" width="12.69921875" style="1665" customWidth="1"/>
    <col min="5" max="6" width="26.69921875" style="1665" customWidth="1"/>
    <col min="7" max="256" width="9.09765625" style="1665"/>
    <col min="257" max="258" width="9.765625E-2" style="1665" customWidth="1"/>
    <col min="259" max="259" width="60.69921875" style="1665" customWidth="1"/>
    <col min="260" max="260" width="8.69921875" style="1665" customWidth="1"/>
    <col min="261" max="262" width="24.69921875" style="1665" customWidth="1"/>
    <col min="263" max="512" width="9.09765625" style="1665"/>
    <col min="513" max="514" width="9.765625E-2" style="1665" customWidth="1"/>
    <col min="515" max="515" width="60.69921875" style="1665" customWidth="1"/>
    <col min="516" max="516" width="8.69921875" style="1665" customWidth="1"/>
    <col min="517" max="518" width="24.69921875" style="1665" customWidth="1"/>
    <col min="519" max="768" width="9.09765625" style="1665"/>
    <col min="769" max="770" width="9.765625E-2" style="1665" customWidth="1"/>
    <col min="771" max="771" width="60.69921875" style="1665" customWidth="1"/>
    <col min="772" max="772" width="8.69921875" style="1665" customWidth="1"/>
    <col min="773" max="774" width="24.69921875" style="1665" customWidth="1"/>
    <col min="775" max="1024" width="9.09765625" style="1665"/>
    <col min="1025" max="1026" width="9.765625E-2" style="1665" customWidth="1"/>
    <col min="1027" max="1027" width="60.69921875" style="1665" customWidth="1"/>
    <col min="1028" max="1028" width="8.69921875" style="1665" customWidth="1"/>
    <col min="1029" max="1030" width="24.69921875" style="1665" customWidth="1"/>
    <col min="1031" max="1280" width="9.09765625" style="1665"/>
    <col min="1281" max="1282" width="9.765625E-2" style="1665" customWidth="1"/>
    <col min="1283" max="1283" width="60.69921875" style="1665" customWidth="1"/>
    <col min="1284" max="1284" width="8.69921875" style="1665" customWidth="1"/>
    <col min="1285" max="1286" width="24.69921875" style="1665" customWidth="1"/>
    <col min="1287" max="1536" width="9.09765625" style="1665"/>
    <col min="1537" max="1538" width="9.765625E-2" style="1665" customWidth="1"/>
    <col min="1539" max="1539" width="60.69921875" style="1665" customWidth="1"/>
    <col min="1540" max="1540" width="8.69921875" style="1665" customWidth="1"/>
    <col min="1541" max="1542" width="24.69921875" style="1665" customWidth="1"/>
    <col min="1543" max="1792" width="9.09765625" style="1665"/>
    <col min="1793" max="1794" width="9.765625E-2" style="1665" customWidth="1"/>
    <col min="1795" max="1795" width="60.69921875" style="1665" customWidth="1"/>
    <col min="1796" max="1796" width="8.69921875" style="1665" customWidth="1"/>
    <col min="1797" max="1798" width="24.69921875" style="1665" customWidth="1"/>
    <col min="1799" max="2048" width="9.09765625" style="1665"/>
    <col min="2049" max="2050" width="9.765625E-2" style="1665" customWidth="1"/>
    <col min="2051" max="2051" width="60.69921875" style="1665" customWidth="1"/>
    <col min="2052" max="2052" width="8.69921875" style="1665" customWidth="1"/>
    <col min="2053" max="2054" width="24.69921875" style="1665" customWidth="1"/>
    <col min="2055" max="2304" width="9.09765625" style="1665"/>
    <col min="2305" max="2306" width="9.765625E-2" style="1665" customWidth="1"/>
    <col min="2307" max="2307" width="60.69921875" style="1665" customWidth="1"/>
    <col min="2308" max="2308" width="8.69921875" style="1665" customWidth="1"/>
    <col min="2309" max="2310" width="24.69921875" style="1665" customWidth="1"/>
    <col min="2311" max="2560" width="9.09765625" style="1665"/>
    <col min="2561" max="2562" width="9.765625E-2" style="1665" customWidth="1"/>
    <col min="2563" max="2563" width="60.69921875" style="1665" customWidth="1"/>
    <col min="2564" max="2564" width="8.69921875" style="1665" customWidth="1"/>
    <col min="2565" max="2566" width="24.69921875" style="1665" customWidth="1"/>
    <col min="2567" max="2816" width="9.09765625" style="1665"/>
    <col min="2817" max="2818" width="9.765625E-2" style="1665" customWidth="1"/>
    <col min="2819" max="2819" width="60.69921875" style="1665" customWidth="1"/>
    <col min="2820" max="2820" width="8.69921875" style="1665" customWidth="1"/>
    <col min="2821" max="2822" width="24.69921875" style="1665" customWidth="1"/>
    <col min="2823" max="3072" width="9.09765625" style="1665"/>
    <col min="3073" max="3074" width="9.765625E-2" style="1665" customWidth="1"/>
    <col min="3075" max="3075" width="60.69921875" style="1665" customWidth="1"/>
    <col min="3076" max="3076" width="8.69921875" style="1665" customWidth="1"/>
    <col min="3077" max="3078" width="24.69921875" style="1665" customWidth="1"/>
    <col min="3079" max="3328" width="9.09765625" style="1665"/>
    <col min="3329" max="3330" width="9.765625E-2" style="1665" customWidth="1"/>
    <col min="3331" max="3331" width="60.69921875" style="1665" customWidth="1"/>
    <col min="3332" max="3332" width="8.69921875" style="1665" customWidth="1"/>
    <col min="3333" max="3334" width="24.69921875" style="1665" customWidth="1"/>
    <col min="3335" max="3584" width="9.09765625" style="1665"/>
    <col min="3585" max="3586" width="9.765625E-2" style="1665" customWidth="1"/>
    <col min="3587" max="3587" width="60.69921875" style="1665" customWidth="1"/>
    <col min="3588" max="3588" width="8.69921875" style="1665" customWidth="1"/>
    <col min="3589" max="3590" width="24.69921875" style="1665" customWidth="1"/>
    <col min="3591" max="3840" width="9.09765625" style="1665"/>
    <col min="3841" max="3842" width="9.765625E-2" style="1665" customWidth="1"/>
    <col min="3843" max="3843" width="60.69921875" style="1665" customWidth="1"/>
    <col min="3844" max="3844" width="8.69921875" style="1665" customWidth="1"/>
    <col min="3845" max="3846" width="24.69921875" style="1665" customWidth="1"/>
    <col min="3847" max="4096" width="9.09765625" style="1665"/>
    <col min="4097" max="4098" width="9.765625E-2" style="1665" customWidth="1"/>
    <col min="4099" max="4099" width="60.69921875" style="1665" customWidth="1"/>
    <col min="4100" max="4100" width="8.69921875" style="1665" customWidth="1"/>
    <col min="4101" max="4102" width="24.69921875" style="1665" customWidth="1"/>
    <col min="4103" max="4352" width="9.09765625" style="1665"/>
    <col min="4353" max="4354" width="9.765625E-2" style="1665" customWidth="1"/>
    <col min="4355" max="4355" width="60.69921875" style="1665" customWidth="1"/>
    <col min="4356" max="4356" width="8.69921875" style="1665" customWidth="1"/>
    <col min="4357" max="4358" width="24.69921875" style="1665" customWidth="1"/>
    <col min="4359" max="4608" width="9.09765625" style="1665"/>
    <col min="4609" max="4610" width="9.765625E-2" style="1665" customWidth="1"/>
    <col min="4611" max="4611" width="60.69921875" style="1665" customWidth="1"/>
    <col min="4612" max="4612" width="8.69921875" style="1665" customWidth="1"/>
    <col min="4613" max="4614" width="24.69921875" style="1665" customWidth="1"/>
    <col min="4615" max="4864" width="9.09765625" style="1665"/>
    <col min="4865" max="4866" width="9.765625E-2" style="1665" customWidth="1"/>
    <col min="4867" max="4867" width="60.69921875" style="1665" customWidth="1"/>
    <col min="4868" max="4868" width="8.69921875" style="1665" customWidth="1"/>
    <col min="4869" max="4870" width="24.69921875" style="1665" customWidth="1"/>
    <col min="4871" max="5120" width="9.09765625" style="1665"/>
    <col min="5121" max="5122" width="9.765625E-2" style="1665" customWidth="1"/>
    <col min="5123" max="5123" width="60.69921875" style="1665" customWidth="1"/>
    <col min="5124" max="5124" width="8.69921875" style="1665" customWidth="1"/>
    <col min="5125" max="5126" width="24.69921875" style="1665" customWidth="1"/>
    <col min="5127" max="5376" width="9.09765625" style="1665"/>
    <col min="5377" max="5378" width="9.765625E-2" style="1665" customWidth="1"/>
    <col min="5379" max="5379" width="60.69921875" style="1665" customWidth="1"/>
    <col min="5380" max="5380" width="8.69921875" style="1665" customWidth="1"/>
    <col min="5381" max="5382" width="24.69921875" style="1665" customWidth="1"/>
    <col min="5383" max="5632" width="9.09765625" style="1665"/>
    <col min="5633" max="5634" width="9.765625E-2" style="1665" customWidth="1"/>
    <col min="5635" max="5635" width="60.69921875" style="1665" customWidth="1"/>
    <col min="5636" max="5636" width="8.69921875" style="1665" customWidth="1"/>
    <col min="5637" max="5638" width="24.69921875" style="1665" customWidth="1"/>
    <col min="5639" max="5888" width="9.09765625" style="1665"/>
    <col min="5889" max="5890" width="9.765625E-2" style="1665" customWidth="1"/>
    <col min="5891" max="5891" width="60.69921875" style="1665" customWidth="1"/>
    <col min="5892" max="5892" width="8.69921875" style="1665" customWidth="1"/>
    <col min="5893" max="5894" width="24.69921875" style="1665" customWidth="1"/>
    <col min="5895" max="6144" width="9.09765625" style="1665"/>
    <col min="6145" max="6146" width="9.765625E-2" style="1665" customWidth="1"/>
    <col min="6147" max="6147" width="60.69921875" style="1665" customWidth="1"/>
    <col min="6148" max="6148" width="8.69921875" style="1665" customWidth="1"/>
    <col min="6149" max="6150" width="24.69921875" style="1665" customWidth="1"/>
    <col min="6151" max="6400" width="9.09765625" style="1665"/>
    <col min="6401" max="6402" width="9.765625E-2" style="1665" customWidth="1"/>
    <col min="6403" max="6403" width="60.69921875" style="1665" customWidth="1"/>
    <col min="6404" max="6404" width="8.69921875" style="1665" customWidth="1"/>
    <col min="6405" max="6406" width="24.69921875" style="1665" customWidth="1"/>
    <col min="6407" max="6656" width="9.09765625" style="1665"/>
    <col min="6657" max="6658" width="9.765625E-2" style="1665" customWidth="1"/>
    <col min="6659" max="6659" width="60.69921875" style="1665" customWidth="1"/>
    <col min="6660" max="6660" width="8.69921875" style="1665" customWidth="1"/>
    <col min="6661" max="6662" width="24.69921875" style="1665" customWidth="1"/>
    <col min="6663" max="6912" width="9.09765625" style="1665"/>
    <col min="6913" max="6914" width="9.765625E-2" style="1665" customWidth="1"/>
    <col min="6915" max="6915" width="60.69921875" style="1665" customWidth="1"/>
    <col min="6916" max="6916" width="8.69921875" style="1665" customWidth="1"/>
    <col min="6917" max="6918" width="24.69921875" style="1665" customWidth="1"/>
    <col min="6919" max="7168" width="9.09765625" style="1665"/>
    <col min="7169" max="7170" width="9.765625E-2" style="1665" customWidth="1"/>
    <col min="7171" max="7171" width="60.69921875" style="1665" customWidth="1"/>
    <col min="7172" max="7172" width="8.69921875" style="1665" customWidth="1"/>
    <col min="7173" max="7174" width="24.69921875" style="1665" customWidth="1"/>
    <col min="7175" max="7424" width="9.09765625" style="1665"/>
    <col min="7425" max="7426" width="9.765625E-2" style="1665" customWidth="1"/>
    <col min="7427" max="7427" width="60.69921875" style="1665" customWidth="1"/>
    <col min="7428" max="7428" width="8.69921875" style="1665" customWidth="1"/>
    <col min="7429" max="7430" width="24.69921875" style="1665" customWidth="1"/>
    <col min="7431" max="7680" width="9.09765625" style="1665"/>
    <col min="7681" max="7682" width="9.765625E-2" style="1665" customWidth="1"/>
    <col min="7683" max="7683" width="60.69921875" style="1665" customWidth="1"/>
    <col min="7684" max="7684" width="8.69921875" style="1665" customWidth="1"/>
    <col min="7685" max="7686" width="24.69921875" style="1665" customWidth="1"/>
    <col min="7687" max="7936" width="9.09765625" style="1665"/>
    <col min="7937" max="7938" width="9.765625E-2" style="1665" customWidth="1"/>
    <col min="7939" max="7939" width="60.69921875" style="1665" customWidth="1"/>
    <col min="7940" max="7940" width="8.69921875" style="1665" customWidth="1"/>
    <col min="7941" max="7942" width="24.69921875" style="1665" customWidth="1"/>
    <col min="7943" max="8192" width="9.09765625" style="1665"/>
    <col min="8193" max="8194" width="9.765625E-2" style="1665" customWidth="1"/>
    <col min="8195" max="8195" width="60.69921875" style="1665" customWidth="1"/>
    <col min="8196" max="8196" width="8.69921875" style="1665" customWidth="1"/>
    <col min="8197" max="8198" width="24.69921875" style="1665" customWidth="1"/>
    <col min="8199" max="8448" width="9.09765625" style="1665"/>
    <col min="8449" max="8450" width="9.765625E-2" style="1665" customWidth="1"/>
    <col min="8451" max="8451" width="60.69921875" style="1665" customWidth="1"/>
    <col min="8452" max="8452" width="8.69921875" style="1665" customWidth="1"/>
    <col min="8453" max="8454" width="24.69921875" style="1665" customWidth="1"/>
    <col min="8455" max="8704" width="9.09765625" style="1665"/>
    <col min="8705" max="8706" width="9.765625E-2" style="1665" customWidth="1"/>
    <col min="8707" max="8707" width="60.69921875" style="1665" customWidth="1"/>
    <col min="8708" max="8708" width="8.69921875" style="1665" customWidth="1"/>
    <col min="8709" max="8710" width="24.69921875" style="1665" customWidth="1"/>
    <col min="8711" max="8960" width="9.09765625" style="1665"/>
    <col min="8961" max="8962" width="9.765625E-2" style="1665" customWidth="1"/>
    <col min="8963" max="8963" width="60.69921875" style="1665" customWidth="1"/>
    <col min="8964" max="8964" width="8.69921875" style="1665" customWidth="1"/>
    <col min="8965" max="8966" width="24.69921875" style="1665" customWidth="1"/>
    <col min="8967" max="9216" width="9.09765625" style="1665"/>
    <col min="9217" max="9218" width="9.765625E-2" style="1665" customWidth="1"/>
    <col min="9219" max="9219" width="60.69921875" style="1665" customWidth="1"/>
    <col min="9220" max="9220" width="8.69921875" style="1665" customWidth="1"/>
    <col min="9221" max="9222" width="24.69921875" style="1665" customWidth="1"/>
    <col min="9223" max="9472" width="9.09765625" style="1665"/>
    <col min="9473" max="9474" width="9.765625E-2" style="1665" customWidth="1"/>
    <col min="9475" max="9475" width="60.69921875" style="1665" customWidth="1"/>
    <col min="9476" max="9476" width="8.69921875" style="1665" customWidth="1"/>
    <col min="9477" max="9478" width="24.69921875" style="1665" customWidth="1"/>
    <col min="9479" max="9728" width="9.09765625" style="1665"/>
    <col min="9729" max="9730" width="9.765625E-2" style="1665" customWidth="1"/>
    <col min="9731" max="9731" width="60.69921875" style="1665" customWidth="1"/>
    <col min="9732" max="9732" width="8.69921875" style="1665" customWidth="1"/>
    <col min="9733" max="9734" width="24.69921875" style="1665" customWidth="1"/>
    <col min="9735" max="9984" width="9.09765625" style="1665"/>
    <col min="9985" max="9986" width="9.765625E-2" style="1665" customWidth="1"/>
    <col min="9987" max="9987" width="60.69921875" style="1665" customWidth="1"/>
    <col min="9988" max="9988" width="8.69921875" style="1665" customWidth="1"/>
    <col min="9989" max="9990" width="24.69921875" style="1665" customWidth="1"/>
    <col min="9991" max="10240" width="9.09765625" style="1665"/>
    <col min="10241" max="10242" width="9.765625E-2" style="1665" customWidth="1"/>
    <col min="10243" max="10243" width="60.69921875" style="1665" customWidth="1"/>
    <col min="10244" max="10244" width="8.69921875" style="1665" customWidth="1"/>
    <col min="10245" max="10246" width="24.69921875" style="1665" customWidth="1"/>
    <col min="10247" max="10496" width="9.09765625" style="1665"/>
    <col min="10497" max="10498" width="9.765625E-2" style="1665" customWidth="1"/>
    <col min="10499" max="10499" width="60.69921875" style="1665" customWidth="1"/>
    <col min="10500" max="10500" width="8.69921875" style="1665" customWidth="1"/>
    <col min="10501" max="10502" width="24.69921875" style="1665" customWidth="1"/>
    <col min="10503" max="10752" width="9.09765625" style="1665"/>
    <col min="10753" max="10754" width="9.765625E-2" style="1665" customWidth="1"/>
    <col min="10755" max="10755" width="60.69921875" style="1665" customWidth="1"/>
    <col min="10756" max="10756" width="8.69921875" style="1665" customWidth="1"/>
    <col min="10757" max="10758" width="24.69921875" style="1665" customWidth="1"/>
    <col min="10759" max="11008" width="9.09765625" style="1665"/>
    <col min="11009" max="11010" width="9.765625E-2" style="1665" customWidth="1"/>
    <col min="11011" max="11011" width="60.69921875" style="1665" customWidth="1"/>
    <col min="11012" max="11012" width="8.69921875" style="1665" customWidth="1"/>
    <col min="11013" max="11014" width="24.69921875" style="1665" customWidth="1"/>
    <col min="11015" max="11264" width="9.09765625" style="1665"/>
    <col min="11265" max="11266" width="9.765625E-2" style="1665" customWidth="1"/>
    <col min="11267" max="11267" width="60.69921875" style="1665" customWidth="1"/>
    <col min="11268" max="11268" width="8.69921875" style="1665" customWidth="1"/>
    <col min="11269" max="11270" width="24.69921875" style="1665" customWidth="1"/>
    <col min="11271" max="11520" width="9.09765625" style="1665"/>
    <col min="11521" max="11522" width="9.765625E-2" style="1665" customWidth="1"/>
    <col min="11523" max="11523" width="60.69921875" style="1665" customWidth="1"/>
    <col min="11524" max="11524" width="8.69921875" style="1665" customWidth="1"/>
    <col min="11525" max="11526" width="24.69921875" style="1665" customWidth="1"/>
    <col min="11527" max="11776" width="9.09765625" style="1665"/>
    <col min="11777" max="11778" width="9.765625E-2" style="1665" customWidth="1"/>
    <col min="11779" max="11779" width="60.69921875" style="1665" customWidth="1"/>
    <col min="11780" max="11780" width="8.69921875" style="1665" customWidth="1"/>
    <col min="11781" max="11782" width="24.69921875" style="1665" customWidth="1"/>
    <col min="11783" max="12032" width="9.09765625" style="1665"/>
    <col min="12033" max="12034" width="9.765625E-2" style="1665" customWidth="1"/>
    <col min="12035" max="12035" width="60.69921875" style="1665" customWidth="1"/>
    <col min="12036" max="12036" width="8.69921875" style="1665" customWidth="1"/>
    <col min="12037" max="12038" width="24.69921875" style="1665" customWidth="1"/>
    <col min="12039" max="12288" width="9.09765625" style="1665"/>
    <col min="12289" max="12290" width="9.765625E-2" style="1665" customWidth="1"/>
    <col min="12291" max="12291" width="60.69921875" style="1665" customWidth="1"/>
    <col min="12292" max="12292" width="8.69921875" style="1665" customWidth="1"/>
    <col min="12293" max="12294" width="24.69921875" style="1665" customWidth="1"/>
    <col min="12295" max="12544" width="9.09765625" style="1665"/>
    <col min="12545" max="12546" width="9.765625E-2" style="1665" customWidth="1"/>
    <col min="12547" max="12547" width="60.69921875" style="1665" customWidth="1"/>
    <col min="12548" max="12548" width="8.69921875" style="1665" customWidth="1"/>
    <col min="12549" max="12550" width="24.69921875" style="1665" customWidth="1"/>
    <col min="12551" max="12800" width="9.09765625" style="1665"/>
    <col min="12801" max="12802" width="9.765625E-2" style="1665" customWidth="1"/>
    <col min="12803" max="12803" width="60.69921875" style="1665" customWidth="1"/>
    <col min="12804" max="12804" width="8.69921875" style="1665" customWidth="1"/>
    <col min="12805" max="12806" width="24.69921875" style="1665" customWidth="1"/>
    <col min="12807" max="13056" width="9.09765625" style="1665"/>
    <col min="13057" max="13058" width="9.765625E-2" style="1665" customWidth="1"/>
    <col min="13059" max="13059" width="60.69921875" style="1665" customWidth="1"/>
    <col min="13060" max="13060" width="8.69921875" style="1665" customWidth="1"/>
    <col min="13061" max="13062" width="24.69921875" style="1665" customWidth="1"/>
    <col min="13063" max="13312" width="9.09765625" style="1665"/>
    <col min="13313" max="13314" width="9.765625E-2" style="1665" customWidth="1"/>
    <col min="13315" max="13315" width="60.69921875" style="1665" customWidth="1"/>
    <col min="13316" max="13316" width="8.69921875" style="1665" customWidth="1"/>
    <col min="13317" max="13318" width="24.69921875" style="1665" customWidth="1"/>
    <col min="13319" max="13568" width="9.09765625" style="1665"/>
    <col min="13569" max="13570" width="9.765625E-2" style="1665" customWidth="1"/>
    <col min="13571" max="13571" width="60.69921875" style="1665" customWidth="1"/>
    <col min="13572" max="13572" width="8.69921875" style="1665" customWidth="1"/>
    <col min="13573" max="13574" width="24.69921875" style="1665" customWidth="1"/>
    <col min="13575" max="13824" width="9.09765625" style="1665"/>
    <col min="13825" max="13826" width="9.765625E-2" style="1665" customWidth="1"/>
    <col min="13827" max="13827" width="60.69921875" style="1665" customWidth="1"/>
    <col min="13828" max="13828" width="8.69921875" style="1665" customWidth="1"/>
    <col min="13829" max="13830" width="24.69921875" style="1665" customWidth="1"/>
    <col min="13831" max="14080" width="9.09765625" style="1665"/>
    <col min="14081" max="14082" width="9.765625E-2" style="1665" customWidth="1"/>
    <col min="14083" max="14083" width="60.69921875" style="1665" customWidth="1"/>
    <col min="14084" max="14084" width="8.69921875" style="1665" customWidth="1"/>
    <col min="14085" max="14086" width="24.69921875" style="1665" customWidth="1"/>
    <col min="14087" max="14336" width="9.09765625" style="1665"/>
    <col min="14337" max="14338" width="9.765625E-2" style="1665" customWidth="1"/>
    <col min="14339" max="14339" width="60.69921875" style="1665" customWidth="1"/>
    <col min="14340" max="14340" width="8.69921875" style="1665" customWidth="1"/>
    <col min="14341" max="14342" width="24.69921875" style="1665" customWidth="1"/>
    <col min="14343" max="14592" width="9.09765625" style="1665"/>
    <col min="14593" max="14594" width="9.765625E-2" style="1665" customWidth="1"/>
    <col min="14595" max="14595" width="60.69921875" style="1665" customWidth="1"/>
    <col min="14596" max="14596" width="8.69921875" style="1665" customWidth="1"/>
    <col min="14597" max="14598" width="24.69921875" style="1665" customWidth="1"/>
    <col min="14599" max="14848" width="9.09765625" style="1665"/>
    <col min="14849" max="14850" width="9.765625E-2" style="1665" customWidth="1"/>
    <col min="14851" max="14851" width="60.69921875" style="1665" customWidth="1"/>
    <col min="14852" max="14852" width="8.69921875" style="1665" customWidth="1"/>
    <col min="14853" max="14854" width="24.69921875" style="1665" customWidth="1"/>
    <col min="14855" max="15104" width="9.09765625" style="1665"/>
    <col min="15105" max="15106" width="9.765625E-2" style="1665" customWidth="1"/>
    <col min="15107" max="15107" width="60.69921875" style="1665" customWidth="1"/>
    <col min="15108" max="15108" width="8.69921875" style="1665" customWidth="1"/>
    <col min="15109" max="15110" width="24.69921875" style="1665" customWidth="1"/>
    <col min="15111" max="15360" width="9.09765625" style="1665"/>
    <col min="15361" max="15362" width="9.765625E-2" style="1665" customWidth="1"/>
    <col min="15363" max="15363" width="60.69921875" style="1665" customWidth="1"/>
    <col min="15364" max="15364" width="8.69921875" style="1665" customWidth="1"/>
    <col min="15365" max="15366" width="24.69921875" style="1665" customWidth="1"/>
    <col min="15367" max="15616" width="9.09765625" style="1665"/>
    <col min="15617" max="15618" width="9.765625E-2" style="1665" customWidth="1"/>
    <col min="15619" max="15619" width="60.69921875" style="1665" customWidth="1"/>
    <col min="15620" max="15620" width="8.69921875" style="1665" customWidth="1"/>
    <col min="15621" max="15622" width="24.69921875" style="1665" customWidth="1"/>
    <col min="15623" max="15872" width="9.09765625" style="1665"/>
    <col min="15873" max="15874" width="9.765625E-2" style="1665" customWidth="1"/>
    <col min="15875" max="15875" width="60.69921875" style="1665" customWidth="1"/>
    <col min="15876" max="15876" width="8.69921875" style="1665" customWidth="1"/>
    <col min="15877" max="15878" width="24.69921875" style="1665" customWidth="1"/>
    <col min="15879" max="16128" width="9.09765625" style="1665"/>
    <col min="16129" max="16130" width="9.765625E-2" style="1665" customWidth="1"/>
    <col min="16131" max="16131" width="60.69921875" style="1665" customWidth="1"/>
    <col min="16132" max="16132" width="8.69921875" style="1665" customWidth="1"/>
    <col min="16133" max="16134" width="24.69921875" style="1665" customWidth="1"/>
    <col min="16135" max="16384" width="9.09765625" style="1665"/>
  </cols>
  <sheetData>
    <row r="1" spans="1:10">
      <c r="A1" s="2840"/>
      <c r="B1" s="2841"/>
      <c r="C1" s="1662"/>
      <c r="D1" s="1662"/>
      <c r="E1" s="1662"/>
      <c r="F1" s="1662"/>
      <c r="G1" s="1664"/>
      <c r="H1" s="1664"/>
      <c r="I1" s="1707"/>
      <c r="J1" s="1664"/>
    </row>
    <row r="2" spans="1:10" ht="27.75" customHeight="1">
      <c r="A2" s="2840"/>
      <c r="B2" s="2841"/>
      <c r="C2" s="3114" t="s">
        <v>5809</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编制单位：余江县天骏投资管理有限公司</v>
      </c>
      <c r="D5" s="2039"/>
      <c r="E5" s="2040" t="s">
        <v>2554</v>
      </c>
      <c r="F5" s="2041" t="s">
        <v>2555</v>
      </c>
      <c r="G5" s="1664"/>
      <c r="H5" s="1664"/>
      <c r="I5" s="1664"/>
      <c r="J5" s="1664"/>
    </row>
    <row r="6" spans="1:10" ht="20.149999999999999" customHeight="1">
      <c r="A6" s="2885" t="s">
        <v>2556</v>
      </c>
      <c r="B6" s="2883" t="s">
        <v>2558</v>
      </c>
      <c r="C6" s="2043" t="s">
        <v>5134</v>
      </c>
      <c r="D6" s="2044" t="s">
        <v>5848</v>
      </c>
      <c r="E6" s="2045" t="str">
        <f>Lead!$F$7</f>
        <v>2019年度</v>
      </c>
      <c r="F6" s="2046" t="str">
        <f>Lead!$F$8</f>
        <v>2018年度</v>
      </c>
      <c r="G6" s="1885"/>
      <c r="H6" s="1885"/>
      <c r="I6" s="1664"/>
      <c r="J6" s="1664"/>
    </row>
    <row r="7" spans="1:10" ht="20.149999999999999" customHeight="1">
      <c r="A7" s="2863">
        <f t="shared" ref="A7:A41" si="0">VLOOKUP($B7,Sheet_Items,4,0)</f>
        <v>0</v>
      </c>
      <c r="B7" s="2856">
        <v>6001</v>
      </c>
      <c r="C7" s="2047" t="str">
        <f t="shared" ref="C7:C38" si="1">VLOOKUP($B7,Sheet_Items,6,0)</f>
        <v>一、营业收入</v>
      </c>
      <c r="D7" s="2048"/>
      <c r="E7" s="2049">
        <f t="shared" ref="E7:E24" si="2">IF($B7="","",VLOOKUP($B7,Sheet_Trialbal,6,0))</f>
        <v>0</v>
      </c>
      <c r="F7" s="2050">
        <f t="shared" ref="F7:F24" si="3">IF($B7="","",VLOOKUP($B7,Sheet_Trialbal,10,0))</f>
        <v>0</v>
      </c>
      <c r="G7" s="1885"/>
      <c r="H7" s="1885"/>
      <c r="I7" s="1664"/>
      <c r="J7" s="1664"/>
    </row>
    <row r="8" spans="1:10" ht="20.149999999999999" customHeight="1">
      <c r="A8" s="2863">
        <f t="shared" si="0"/>
        <v>0</v>
      </c>
      <c r="B8" s="2856">
        <v>6401</v>
      </c>
      <c r="C8" s="2051" t="str">
        <f t="shared" si="1"/>
        <v>减：营业成本</v>
      </c>
      <c r="D8" s="2052"/>
      <c r="E8" s="2049">
        <f t="shared" si="2"/>
        <v>0</v>
      </c>
      <c r="F8" s="2050">
        <f t="shared" si="3"/>
        <v>0</v>
      </c>
      <c r="G8" s="1885"/>
      <c r="H8" s="1885"/>
      <c r="I8" s="1664"/>
      <c r="J8" s="1664"/>
    </row>
    <row r="9" spans="1:10" ht="20.149999999999999" customHeight="1">
      <c r="A9" s="2863">
        <f t="shared" si="0"/>
        <v>0</v>
      </c>
      <c r="B9" s="2856">
        <v>6600</v>
      </c>
      <c r="C9" s="2030" t="str">
        <f t="shared" si="1"/>
        <v>税金及附加</v>
      </c>
      <c r="D9" s="2052"/>
      <c r="E9" s="2049">
        <f t="shared" si="2"/>
        <v>0</v>
      </c>
      <c r="F9" s="2050">
        <f t="shared" si="3"/>
        <v>0</v>
      </c>
      <c r="G9" s="1885"/>
      <c r="H9" s="1885"/>
      <c r="I9" s="1664"/>
      <c r="J9" s="1664"/>
    </row>
    <row r="10" spans="1:10" ht="20.149999999999999" customHeight="1">
      <c r="A10" s="2863">
        <f t="shared" si="0"/>
        <v>0</v>
      </c>
      <c r="B10" s="2856">
        <v>6601</v>
      </c>
      <c r="C10" s="2030" t="str">
        <f t="shared" si="1"/>
        <v>销售费用</v>
      </c>
      <c r="D10" s="2052"/>
      <c r="E10" s="2049">
        <f t="shared" si="2"/>
        <v>0</v>
      </c>
      <c r="F10" s="2050">
        <f t="shared" si="3"/>
        <v>0</v>
      </c>
      <c r="G10" s="1885"/>
      <c r="H10" s="1885"/>
      <c r="I10" s="1664"/>
      <c r="J10" s="1664"/>
    </row>
    <row r="11" spans="1:10" ht="20.149999999999999" customHeight="1">
      <c r="A11" s="2863">
        <f t="shared" si="0"/>
        <v>0</v>
      </c>
      <c r="B11" s="2856">
        <v>6602</v>
      </c>
      <c r="C11" s="2030" t="str">
        <f t="shared" si="1"/>
        <v>管理费用</v>
      </c>
      <c r="D11" s="2052"/>
      <c r="E11" s="2049">
        <f t="shared" si="2"/>
        <v>1000</v>
      </c>
      <c r="F11" s="2050">
        <f t="shared" si="3"/>
        <v>580</v>
      </c>
      <c r="G11" s="1885"/>
      <c r="H11" s="1885"/>
      <c r="I11" s="1664"/>
      <c r="J11" s="1664"/>
    </row>
    <row r="12" spans="1:10" ht="20.149999999999999" customHeight="1">
      <c r="A12" s="2863">
        <f t="shared" si="0"/>
        <v>0</v>
      </c>
      <c r="B12" s="2856">
        <v>6606</v>
      </c>
      <c r="C12" s="2030" t="str">
        <f t="shared" si="1"/>
        <v>研发费用</v>
      </c>
      <c r="D12" s="2052"/>
      <c r="E12" s="2049">
        <f t="shared" si="2"/>
        <v>0</v>
      </c>
      <c r="F12" s="2050">
        <f t="shared" si="3"/>
        <v>0</v>
      </c>
      <c r="G12" s="1885"/>
      <c r="H12" s="1885"/>
      <c r="I12" s="1664"/>
      <c r="J12" s="1664"/>
    </row>
    <row r="13" spans="1:10" ht="20.149999999999999" customHeight="1">
      <c r="A13" s="2863">
        <f t="shared" si="0"/>
        <v>0</v>
      </c>
      <c r="B13" s="2856">
        <v>6603</v>
      </c>
      <c r="C13" s="2030" t="str">
        <f t="shared" si="1"/>
        <v>财务费用</v>
      </c>
      <c r="D13" s="2052"/>
      <c r="E13" s="2049">
        <f t="shared" si="2"/>
        <v>1324.91</v>
      </c>
      <c r="F13" s="2050">
        <f t="shared" si="3"/>
        <v>1134.32</v>
      </c>
      <c r="G13" s="1885"/>
      <c r="H13" s="1885"/>
      <c r="I13" s="1664"/>
      <c r="J13" s="1664"/>
    </row>
    <row r="14" spans="1:10" ht="20.149999999999999" customHeight="1">
      <c r="A14" s="2863">
        <f t="shared" si="0"/>
        <v>0</v>
      </c>
      <c r="B14" s="2856" t="s">
        <v>803</v>
      </c>
      <c r="C14" s="2031" t="str">
        <f t="shared" si="1"/>
        <v>其中：利息费用</v>
      </c>
      <c r="D14" s="2052"/>
      <c r="E14" s="2049">
        <f t="shared" si="2"/>
        <v>0</v>
      </c>
      <c r="F14" s="2050">
        <f t="shared" si="3"/>
        <v>0</v>
      </c>
      <c r="G14" s="1885"/>
      <c r="H14" s="1885"/>
      <c r="I14" s="1664"/>
      <c r="J14" s="1664"/>
    </row>
    <row r="15" spans="1:10" ht="20.149999999999999" customHeight="1">
      <c r="A15" s="2863">
        <f t="shared" si="0"/>
        <v>0</v>
      </c>
      <c r="B15" s="2856" t="s">
        <v>810</v>
      </c>
      <c r="C15" s="2031" t="str">
        <f t="shared" si="1"/>
        <v>利息收入</v>
      </c>
      <c r="D15" s="2052"/>
      <c r="E15" s="2049">
        <f t="shared" si="2"/>
        <v>50.09</v>
      </c>
      <c r="F15" s="2050">
        <f t="shared" si="3"/>
        <v>33.44</v>
      </c>
      <c r="G15" s="1885"/>
      <c r="H15" s="1885"/>
      <c r="I15" s="1664"/>
      <c r="J15" s="1664"/>
    </row>
    <row r="16" spans="1:10" ht="20.149999999999999" customHeight="1">
      <c r="A16" s="2863">
        <f t="shared" si="0"/>
        <v>0</v>
      </c>
      <c r="B16" s="2856">
        <v>6181</v>
      </c>
      <c r="C16" s="2028" t="str">
        <f t="shared" si="1"/>
        <v>加：其他收益</v>
      </c>
      <c r="D16" s="2052"/>
      <c r="E16" s="2049">
        <f t="shared" si="2"/>
        <v>0</v>
      </c>
      <c r="F16" s="2050">
        <f t="shared" si="3"/>
        <v>0</v>
      </c>
      <c r="G16" s="1885"/>
      <c r="H16" s="1885"/>
      <c r="I16" s="1664"/>
      <c r="J16" s="1664"/>
    </row>
    <row r="17" spans="1:10" ht="20.149999999999999"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49999999999999"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49999999999999"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49999999999999"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49999999999999"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49999999999999" customHeight="1">
      <c r="A22" s="2863" t="str">
        <f t="shared" si="0"/>
        <v>_JR</v>
      </c>
      <c r="B22" s="2856">
        <v>6672</v>
      </c>
      <c r="C22" s="2030" t="str">
        <f t="shared" si="1"/>
        <v>信用减值损失（损失以“-”号填列）</v>
      </c>
      <c r="D22" s="2052"/>
      <c r="E22" s="2049">
        <f t="shared" si="2"/>
        <v>0</v>
      </c>
      <c r="F22" s="2050">
        <f t="shared" si="3"/>
        <v>0</v>
      </c>
      <c r="G22" s="1885"/>
      <c r="H22" s="1885"/>
      <c r="I22" s="1664"/>
      <c r="J22" s="1664"/>
    </row>
    <row r="23" spans="1:10" ht="20.149999999999999" customHeight="1">
      <c r="A23" s="2863">
        <f t="shared" si="0"/>
        <v>0</v>
      </c>
      <c r="B23" s="2856">
        <v>6671</v>
      </c>
      <c r="C23" s="2030" t="str">
        <f t="shared" si="1"/>
        <v>资产减值损失（损失以“-”号填列）</v>
      </c>
      <c r="D23" s="2052"/>
      <c r="E23" s="2049">
        <f t="shared" si="2"/>
        <v>0</v>
      </c>
      <c r="F23" s="2050">
        <f t="shared" si="3"/>
        <v>0</v>
      </c>
      <c r="G23" s="1885"/>
      <c r="H23" s="1885"/>
      <c r="I23" s="1664"/>
      <c r="J23" s="1664"/>
    </row>
    <row r="24" spans="1:10" ht="20.149999999999999"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49999999999999" customHeight="1">
      <c r="A25" s="2863" t="str">
        <f t="shared" si="0"/>
        <v>＝</v>
      </c>
      <c r="B25" s="2856">
        <v>6689</v>
      </c>
      <c r="C25" s="2055" t="str">
        <f t="shared" si="1"/>
        <v>二、营业利润（亏损以“-”号填列）</v>
      </c>
      <c r="D25" s="2052"/>
      <c r="E25" s="2053">
        <f>SUM(E7)-SUM(E8:E13)+SUM(E16:E24)-SUM(E18,E19)</f>
        <v>-2324.91</v>
      </c>
      <c r="F25" s="2050">
        <f>SUM(F7)-SUM(F8:F13)+SUM(F16:F24)-SUM(F18,F19)</f>
        <v>-1714.32</v>
      </c>
      <c r="G25" s="1885"/>
      <c r="H25" s="1885"/>
      <c r="I25" s="1664"/>
      <c r="J25" s="1664"/>
    </row>
    <row r="26" spans="1:10" ht="20.149999999999999"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49999999999999"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49999999999999" customHeight="1">
      <c r="A28" s="2863" t="str">
        <f t="shared" si="0"/>
        <v>＝</v>
      </c>
      <c r="B28" s="2856">
        <v>6788</v>
      </c>
      <c r="C28" s="2056" t="str">
        <f t="shared" si="1"/>
        <v>三、利润总额（亏损总额以“-”号填列）</v>
      </c>
      <c r="D28" s="2052"/>
      <c r="E28" s="2049">
        <f>SUM(E25,E26,-E27)</f>
        <v>-2324.91</v>
      </c>
      <c r="F28" s="2050">
        <f>SUM(F25,F26,-F27)</f>
        <v>-1714.32</v>
      </c>
      <c r="G28" s="1886"/>
      <c r="H28" s="1886"/>
      <c r="I28" s="1664"/>
      <c r="J28" s="1664"/>
    </row>
    <row r="29" spans="1:10" ht="20.149999999999999" customHeight="1">
      <c r="A29" s="2863">
        <f t="shared" si="0"/>
        <v>0</v>
      </c>
      <c r="B29" s="2856">
        <v>6791</v>
      </c>
      <c r="C29" s="2030" t="str">
        <f t="shared" si="1"/>
        <v>减：所得税费用</v>
      </c>
      <c r="D29" s="2052"/>
      <c r="E29" s="2049">
        <f>IF($B29="","",VLOOKUP($B29,Sheet_Trialbal,6,0))</f>
        <v>0</v>
      </c>
      <c r="F29" s="2050">
        <f>IF($B29="","",VLOOKUP($B29,Sheet_Trialbal,10,0))</f>
        <v>0</v>
      </c>
      <c r="G29" s="1885"/>
      <c r="H29" s="1885"/>
      <c r="I29" s="1664"/>
      <c r="J29" s="1664"/>
    </row>
    <row r="30" spans="1:10" ht="20.149999999999999" customHeight="1">
      <c r="A30" s="2863" t="str">
        <f t="shared" si="0"/>
        <v>＝</v>
      </c>
      <c r="B30" s="2856">
        <v>6799</v>
      </c>
      <c r="C30" s="2056" t="str">
        <f t="shared" si="1"/>
        <v>四、净利润（净亏损以“-”号填列）</v>
      </c>
      <c r="D30" s="2052"/>
      <c r="E30" s="2049">
        <f>SUM(E28,-E29)</f>
        <v>-2324.91</v>
      </c>
      <c r="F30" s="2050">
        <f>SUM(F28,-F29)</f>
        <v>-1714.32</v>
      </c>
      <c r="G30" s="1886"/>
      <c r="H30" s="1885"/>
      <c r="I30" s="1664"/>
      <c r="J30" s="1664"/>
    </row>
    <row r="31" spans="1:10" ht="20.149999999999999" customHeight="1">
      <c r="A31" s="2863">
        <f t="shared" si="0"/>
        <v>0</v>
      </c>
      <c r="B31" s="2856">
        <v>6816</v>
      </c>
      <c r="C31" s="2030" t="str">
        <f t="shared" si="1"/>
        <v>（一）持续经营净利润（净亏损以“-”号填列）</v>
      </c>
      <c r="D31" s="2052" t="s">
        <v>19</v>
      </c>
      <c r="E31" s="2053">
        <f>E30</f>
        <v>-2324.91</v>
      </c>
      <c r="F31" s="2050">
        <f>F30</f>
        <v>-1714.32</v>
      </c>
      <c r="G31" s="1885"/>
      <c r="H31" s="1885"/>
      <c r="I31" s="1664"/>
      <c r="J31" s="1664"/>
    </row>
    <row r="32" spans="1:10" ht="20.149999999999999"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49999999999999"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49999999999999"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49999999999999"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49999999999999"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49999999999999"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49999999999999"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49999999999999"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49999999999999"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49999999999999"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49999999999999"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49999999999999"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49999999999999"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49999999999999"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49999999999999"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49999999999999"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49999999999999"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6">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6">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49999999999999"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49999999999999" customHeight="1">
      <c r="A52" s="2863" t="str">
        <f t="shared" si="7"/>
        <v>＝</v>
      </c>
      <c r="B52" s="2856">
        <v>6839</v>
      </c>
      <c r="C52" s="2056" t="str">
        <f t="shared" si="4"/>
        <v>六、综合收益总额</v>
      </c>
      <c r="D52" s="2052"/>
      <c r="E52" s="2049">
        <f>SUM(E30,E33)</f>
        <v>-2324.91</v>
      </c>
      <c r="F52" s="2050">
        <f>SUM(F30,F33)</f>
        <v>-1714.32</v>
      </c>
      <c r="G52" s="1885"/>
      <c r="H52" s="1886"/>
      <c r="I52" s="1664"/>
      <c r="J52" s="1664"/>
    </row>
    <row r="53" spans="1:10" ht="20.149999999999999" customHeight="1">
      <c r="A53" s="2863" t="str">
        <f t="shared" si="7"/>
        <v>：</v>
      </c>
      <c r="B53" s="2856">
        <v>6820</v>
      </c>
      <c r="C53" s="2056" t="str">
        <f t="shared" si="4"/>
        <v>七、每股收益：</v>
      </c>
      <c r="D53" s="2052"/>
      <c r="E53" s="2049"/>
      <c r="F53" s="2050"/>
      <c r="G53" s="1885"/>
      <c r="H53" s="1886"/>
      <c r="I53" s="1664"/>
      <c r="J53" s="1664"/>
    </row>
    <row r="54" spans="1:10" ht="20.149999999999999" customHeight="1">
      <c r="A54" s="2863">
        <f t="shared" si="7"/>
        <v>0</v>
      </c>
      <c r="B54" s="2856">
        <v>6821</v>
      </c>
      <c r="C54" s="2030" t="str">
        <f t="shared" si="4"/>
        <v>（一）基本每股收益（元/股）</v>
      </c>
      <c r="D54" s="2052"/>
      <c r="E54" s="2049"/>
      <c r="F54" s="2050"/>
      <c r="G54" s="1885"/>
      <c r="H54" s="1886"/>
      <c r="I54" s="1664"/>
      <c r="J54" s="1664"/>
    </row>
    <row r="55" spans="1:10" ht="20.149999999999999" customHeight="1" thickBot="1">
      <c r="A55" s="2863">
        <f t="shared" si="7"/>
        <v>0</v>
      </c>
      <c r="B55" s="2856">
        <v>6822</v>
      </c>
      <c r="C55" s="2068" t="str">
        <f t="shared" si="4"/>
        <v>（二）稀释每股收益（元/股）</v>
      </c>
      <c r="D55" s="2069"/>
      <c r="E55" s="2070"/>
      <c r="F55" s="2071"/>
      <c r="G55" s="1885"/>
      <c r="H55" s="1886"/>
      <c r="I55" s="1664"/>
      <c r="J55" s="1664"/>
    </row>
    <row r="56" spans="1:10" ht="5.15" customHeight="1">
      <c r="A56" s="2863"/>
      <c r="B56" s="2864"/>
      <c r="C56" s="3115"/>
      <c r="D56" s="3115"/>
      <c r="E56" s="3115"/>
      <c r="F56" s="3115"/>
      <c r="G56" s="1885"/>
      <c r="H56" s="1885"/>
      <c r="I56" s="1664"/>
      <c r="J56" s="1664"/>
    </row>
    <row r="57" spans="1:10" ht="17">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7">
      <c r="A61" s="2887" t="s">
        <v>2565</v>
      </c>
      <c r="B61" s="2888"/>
      <c r="C61" s="1853" t="s">
        <v>5753</v>
      </c>
      <c r="D61" s="1854"/>
      <c r="E61" s="1855"/>
      <c r="F61" s="1856"/>
      <c r="G61" s="1888"/>
      <c r="H61" s="1888"/>
      <c r="I61" s="1664"/>
      <c r="J61" s="1664"/>
    </row>
    <row r="62" spans="1:10" ht="17">
      <c r="A62" s="2887" t="s">
        <v>2565</v>
      </c>
      <c r="B62" s="2888"/>
      <c r="C62" s="1889" t="s">
        <v>5134</v>
      </c>
      <c r="D62" s="1890"/>
      <c r="E62" s="1891" t="s">
        <v>2577</v>
      </c>
      <c r="F62" s="1892" t="s">
        <v>2578</v>
      </c>
      <c r="G62" s="1888"/>
      <c r="H62" s="1888"/>
      <c r="I62" s="1664"/>
      <c r="J62" s="1664"/>
    </row>
    <row r="63" spans="1:10" ht="17">
      <c r="A63" s="2889" t="s">
        <v>2565</v>
      </c>
      <c r="B63" s="2890"/>
      <c r="C63" s="1861" t="s">
        <v>5758</v>
      </c>
      <c r="D63" s="1893"/>
      <c r="E63" s="1894"/>
      <c r="F63" s="1867"/>
      <c r="G63" s="1895"/>
      <c r="H63" s="1895"/>
      <c r="I63" s="1664"/>
      <c r="J63" s="1664"/>
    </row>
    <row r="64" spans="1:10" ht="17">
      <c r="A64" s="2889" t="s">
        <v>2565</v>
      </c>
      <c r="B64" s="2890"/>
      <c r="C64" s="1897" t="str">
        <f>C30</f>
        <v>四、净利润（净亏损以“-”号填列）</v>
      </c>
      <c r="D64" s="1893" t="s">
        <v>5764</v>
      </c>
      <c r="E64" s="1898">
        <f>E30</f>
        <v>-2324.91</v>
      </c>
      <c r="F64" s="1899">
        <f>F30</f>
        <v>-1714.32</v>
      </c>
      <c r="G64" s="1895"/>
      <c r="H64" s="1895"/>
      <c r="I64" s="1664"/>
      <c r="J64" s="1664"/>
    </row>
    <row r="65" spans="1:10" ht="26">
      <c r="A65" s="2889" t="s">
        <v>2565</v>
      </c>
      <c r="B65" s="2890"/>
      <c r="C65" s="1896" t="str">
        <f>C31 &amp; "+" &amp;C32</f>
        <v>（一）持续经营净利润（净亏损以“-”号填列）+（二）终止经营净利润（净亏损以“-”号填列）</v>
      </c>
      <c r="D65" s="1893" t="s">
        <v>5764</v>
      </c>
      <c r="E65" s="1898">
        <f>E31+E32</f>
        <v>-2324.91</v>
      </c>
      <c r="F65" s="1899">
        <f>F31+F32</f>
        <v>-1714.32</v>
      </c>
      <c r="G65" s="1895"/>
      <c r="H65" s="1895"/>
      <c r="I65" s="1664"/>
      <c r="J65" s="1664"/>
    </row>
    <row r="66" spans="1:10" ht="17.5" thickBot="1">
      <c r="A66" s="2889" t="s">
        <v>2565</v>
      </c>
      <c r="B66" s="2890"/>
      <c r="C66" s="1901" t="s">
        <v>5766</v>
      </c>
      <c r="D66" s="1893"/>
      <c r="E66" s="1902">
        <f>ROUND(E64-E65,2)</f>
        <v>0</v>
      </c>
      <c r="F66" s="1903">
        <f>ROUND(F64-F65,2)</f>
        <v>0</v>
      </c>
      <c r="G66" s="1895"/>
      <c r="H66" s="1895"/>
      <c r="I66" s="1664"/>
      <c r="J66" s="1664"/>
    </row>
    <row r="67" spans="1:10" ht="17.5" thickTop="1">
      <c r="A67" s="2889" t="s">
        <v>2565</v>
      </c>
      <c r="B67" s="2890"/>
      <c r="C67" s="1904" t="s">
        <v>5762</v>
      </c>
      <c r="D67" s="1893"/>
      <c r="E67" s="1905" t="str">
        <f>IF(E66=0,"√","×")</f>
        <v>√</v>
      </c>
      <c r="F67" s="1906" t="str">
        <f>IF(F66=0,"√","×")</f>
        <v>√</v>
      </c>
      <c r="G67" s="1895"/>
      <c r="H67" s="1895"/>
      <c r="I67" s="1664"/>
      <c r="J67" s="1664"/>
    </row>
    <row r="68" spans="1:10" ht="17">
      <c r="A68" s="2889" t="s">
        <v>2565</v>
      </c>
      <c r="B68" s="2890"/>
      <c r="C68" s="1861" t="s">
        <v>5763</v>
      </c>
      <c r="D68" s="1893"/>
      <c r="E68" s="1894"/>
      <c r="F68" s="1867"/>
      <c r="G68" s="1895"/>
      <c r="H68" s="1895"/>
      <c r="I68" s="1664"/>
      <c r="J68" s="1664"/>
    </row>
    <row r="69" spans="1:10" ht="17">
      <c r="A69" s="2889" t="s">
        <v>2565</v>
      </c>
      <c r="B69" s="2890"/>
      <c r="C69" s="1897" t="str">
        <f>C30</f>
        <v>四、净利润（净亏损以“-”号填列）</v>
      </c>
      <c r="D69" s="1893" t="s">
        <v>5764</v>
      </c>
      <c r="E69" s="1898">
        <f>E30</f>
        <v>-2324.91</v>
      </c>
      <c r="F69" s="1899">
        <f>F30</f>
        <v>-1714.32</v>
      </c>
      <c r="G69" s="1895"/>
      <c r="H69" s="1895"/>
      <c r="I69" s="1664"/>
      <c r="J69" s="1664"/>
    </row>
    <row r="70" spans="1:10" ht="17">
      <c r="A70" s="2889" t="s">
        <v>2565</v>
      </c>
      <c r="B70" s="2890"/>
      <c r="C70" s="1900" t="str">
        <f>CE!$C$15&amp;" | "&amp;CE!$N$7</f>
        <v>（一）综合收益总额 | 未分配利润</v>
      </c>
      <c r="D70" s="1893" t="s">
        <v>5765</v>
      </c>
      <c r="E70" s="1898">
        <f>CE!N15</f>
        <v>-2324.91</v>
      </c>
      <c r="F70" s="1899">
        <f>CE!AA15</f>
        <v>-1714.32</v>
      </c>
      <c r="G70" s="1895"/>
      <c r="H70" s="1895"/>
      <c r="I70" s="1664"/>
      <c r="J70" s="1664"/>
    </row>
    <row r="71" spans="1:10" ht="17.5" thickBot="1">
      <c r="A71" s="2889" t="s">
        <v>2565</v>
      </c>
      <c r="B71" s="2890"/>
      <c r="C71" s="1901" t="s">
        <v>5766</v>
      </c>
      <c r="D71" s="1893"/>
      <c r="E71" s="1902">
        <f>ROUND(E69-E70,2)</f>
        <v>0</v>
      </c>
      <c r="F71" s="1903">
        <f>ROUND(F69-F70,2)</f>
        <v>0</v>
      </c>
      <c r="G71" s="1895"/>
      <c r="H71" s="1895"/>
      <c r="I71" s="1664"/>
      <c r="J71" s="1664"/>
    </row>
    <row r="72" spans="1:10" ht="17.5" thickTop="1">
      <c r="A72" s="2889" t="s">
        <v>2565</v>
      </c>
      <c r="B72" s="2890"/>
      <c r="C72" s="1904" t="s">
        <v>5762</v>
      </c>
      <c r="D72" s="1893"/>
      <c r="E72" s="1905" t="str">
        <f>IF(E71=0,"√","×")</f>
        <v>√</v>
      </c>
      <c r="F72" s="1906" t="str">
        <f>IF(F71=0,"√","×")</f>
        <v>√</v>
      </c>
      <c r="G72" s="1895"/>
      <c r="H72" s="1895"/>
      <c r="I72" s="1664"/>
      <c r="J72" s="1664"/>
    </row>
    <row r="73" spans="1:10" ht="17">
      <c r="A73" s="2889" t="s">
        <v>2565</v>
      </c>
      <c r="B73" s="2890"/>
      <c r="C73" s="1897" t="str">
        <f>$C$33</f>
        <v>五、其他综合收益的税后净额</v>
      </c>
      <c r="D73" s="1893" t="s">
        <v>5818</v>
      </c>
      <c r="E73" s="1898">
        <f>E33</f>
        <v>0</v>
      </c>
      <c r="F73" s="1899">
        <f>F33</f>
        <v>0</v>
      </c>
      <c r="G73" s="1895"/>
      <c r="H73" s="1895"/>
      <c r="I73" s="1664"/>
      <c r="J73" s="1664"/>
    </row>
    <row r="74" spans="1:10" ht="17">
      <c r="A74" s="2889" t="s">
        <v>2565</v>
      </c>
      <c r="B74" s="2890"/>
      <c r="C74" s="1900" t="str">
        <f>CE!$C$15&amp;" | "&amp;CE!$J$7</f>
        <v>（一）综合收益总额 | 其他综合收益</v>
      </c>
      <c r="D74" s="1893" t="s">
        <v>5819</v>
      </c>
      <c r="E74" s="1898">
        <f>CE!J15</f>
        <v>0</v>
      </c>
      <c r="F74" s="1899">
        <f ca="1">CE!W15</f>
        <v>0</v>
      </c>
      <c r="G74" s="1895"/>
      <c r="H74" s="1895"/>
      <c r="I74" s="1664"/>
      <c r="J74" s="1664"/>
    </row>
    <row r="75" spans="1:10" ht="17.5" thickBot="1">
      <c r="A75" s="2889" t="s">
        <v>2565</v>
      </c>
      <c r="B75" s="2890"/>
      <c r="C75" s="1901" t="s">
        <v>5820</v>
      </c>
      <c r="D75" s="1893"/>
      <c r="E75" s="1902">
        <f>ROUND(E73-E74,2)</f>
        <v>0</v>
      </c>
      <c r="F75" s="1903">
        <f ca="1">ROUND(F73-F74,2)</f>
        <v>0</v>
      </c>
      <c r="G75" s="1895"/>
      <c r="H75" s="1895"/>
      <c r="I75" s="1664"/>
      <c r="J75" s="1664"/>
    </row>
    <row r="76" spans="1:10" ht="17.5" thickTop="1">
      <c r="A76" s="2889" t="s">
        <v>2565</v>
      </c>
      <c r="B76" s="2890"/>
      <c r="C76" s="1904" t="s">
        <v>5821</v>
      </c>
      <c r="D76" s="1893"/>
      <c r="E76" s="1905" t="str">
        <f>IF(E75=0,"√","×")</f>
        <v>√</v>
      </c>
      <c r="F76" s="1906" t="str">
        <f ca="1">IF(F75=0,"√","×")</f>
        <v>√</v>
      </c>
      <c r="G76" s="1895"/>
      <c r="H76" s="1885"/>
      <c r="I76" s="1664"/>
      <c r="J76" s="1664"/>
    </row>
    <row r="77" spans="1:10" ht="17">
      <c r="A77" s="2889" t="s">
        <v>2565</v>
      </c>
      <c r="B77" s="2890"/>
      <c r="C77" s="1897" t="str">
        <f>C52</f>
        <v>六、综合收益总额</v>
      </c>
      <c r="D77" s="1893" t="s">
        <v>5822</v>
      </c>
      <c r="E77" s="1898">
        <f>E52</f>
        <v>-2324.91</v>
      </c>
      <c r="F77" s="1899">
        <f>F52</f>
        <v>-1714.32</v>
      </c>
      <c r="G77" s="1895"/>
      <c r="H77" s="1885"/>
      <c r="I77" s="1664"/>
      <c r="J77" s="1664"/>
    </row>
    <row r="78" spans="1:10" ht="17">
      <c r="A78" s="2889" t="s">
        <v>2565</v>
      </c>
      <c r="B78" s="2890"/>
      <c r="C78" s="1900" t="str">
        <f>CE!$C$15&amp;" | "&amp;CE!$P$7</f>
        <v>（一）综合收益总额 | 所有者权益合计</v>
      </c>
      <c r="D78" s="1893" t="s">
        <v>5819</v>
      </c>
      <c r="E78" s="1898">
        <f>CE!P15</f>
        <v>-2324.91</v>
      </c>
      <c r="F78" s="1899">
        <f ca="1">CE!AC15</f>
        <v>-1714.32</v>
      </c>
      <c r="G78" s="1895"/>
      <c r="H78" s="1885"/>
      <c r="I78" s="1664"/>
      <c r="J78" s="1664"/>
    </row>
    <row r="79" spans="1:10" ht="17.5" thickBot="1">
      <c r="A79" s="2889" t="s">
        <v>2565</v>
      </c>
      <c r="B79" s="2890"/>
      <c r="C79" s="1901" t="s">
        <v>5820</v>
      </c>
      <c r="D79" s="1893"/>
      <c r="E79" s="1902">
        <f>ROUND(E77-E78,2)</f>
        <v>0</v>
      </c>
      <c r="F79" s="1903">
        <f ca="1">ROUND(F77-F78,2)</f>
        <v>0</v>
      </c>
      <c r="G79" s="1895"/>
      <c r="H79" s="1885"/>
      <c r="I79" s="1664"/>
      <c r="J79" s="1664"/>
    </row>
    <row r="80" spans="1:10" ht="17.5" thickTop="1">
      <c r="A80" s="2889" t="s">
        <v>2565</v>
      </c>
      <c r="B80" s="2890"/>
      <c r="C80" s="1904" t="s">
        <v>5821</v>
      </c>
      <c r="D80" s="1893"/>
      <c r="E80" s="1905" t="str">
        <f>IF(E79=0,"√","×")</f>
        <v>√</v>
      </c>
      <c r="F80" s="1906" t="str">
        <f ca="1">IF(F79=0,"√","×")</f>
        <v>√</v>
      </c>
      <c r="G80" s="1907"/>
      <c r="H80" s="1887"/>
    </row>
    <row r="81" spans="1:8" ht="1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66" priority="84" stopIfTrue="1" operator="notEqual">
      <formula>0</formula>
    </cfRule>
  </conditionalFormatting>
  <conditionalFormatting sqref="D61:D62 C61">
    <cfRule type="expression" dxfId="3965" priority="83" stopIfTrue="1">
      <formula>#REF!=TRUE</formula>
    </cfRule>
  </conditionalFormatting>
  <conditionalFormatting sqref="E81:F81 E75:F75 E79:F79 E71:F71">
    <cfRule type="cellIs" dxfId="3964" priority="82" stopIfTrue="1" operator="notEqual">
      <formula>0</formula>
    </cfRule>
  </conditionalFormatting>
  <conditionalFormatting sqref="E81:F81 E75:F75 E79:F79 E71:F71">
    <cfRule type="cellIs" dxfId="3963" priority="80" stopIfTrue="1" operator="notEqual">
      <formula>0</formula>
    </cfRule>
  </conditionalFormatting>
  <conditionalFormatting sqref="E81:F81 E75:F75 E79:F79 E71:F71">
    <cfRule type="cellIs" dxfId="3962" priority="79" stopIfTrue="1" operator="notEqual">
      <formula>0</formula>
    </cfRule>
  </conditionalFormatting>
  <conditionalFormatting sqref="E81:F81 E75:F75 E79:F79 E71:F71">
    <cfRule type="cellIs" dxfId="3961" priority="78" stopIfTrue="1" operator="notEqual">
      <formula>0</formula>
    </cfRule>
  </conditionalFormatting>
  <conditionalFormatting sqref="E81:F81 E75:F75 E79:F79 E71:F71">
    <cfRule type="cellIs" dxfId="3960" priority="77" stopIfTrue="1" operator="notEqual">
      <formula>0</formula>
    </cfRule>
  </conditionalFormatting>
  <conditionalFormatting sqref="E81:F81 E75:F75 E79:F79 E71:F71">
    <cfRule type="cellIs" dxfId="3959" priority="76" stopIfTrue="1" operator="notEqual">
      <formula>0</formula>
    </cfRule>
  </conditionalFormatting>
  <conditionalFormatting sqref="E81:F81 E75:F75 E79:F79 E71:F71">
    <cfRule type="cellIs" dxfId="3958" priority="74" stopIfTrue="1" operator="notEqual">
      <formula>0</formula>
    </cfRule>
  </conditionalFormatting>
  <conditionalFormatting sqref="E81:F81 E75:F75 E79:F79 E71:F71">
    <cfRule type="cellIs" dxfId="3957" priority="72" stopIfTrue="1" operator="notEqual">
      <formula>0</formula>
    </cfRule>
  </conditionalFormatting>
  <conditionalFormatting sqref="E81:F81 E75:F75 E79:F79 E71:F71">
    <cfRule type="cellIs" dxfId="3956" priority="71" stopIfTrue="1" operator="notEqual">
      <formula>0</formula>
    </cfRule>
  </conditionalFormatting>
  <conditionalFormatting sqref="E81:F81 E75:F75 E79:F79 E71:F71">
    <cfRule type="cellIs" dxfId="3955" priority="70" stopIfTrue="1" operator="notEqual">
      <formula>0</formula>
    </cfRule>
  </conditionalFormatting>
  <conditionalFormatting sqref="E81:F81 E75:F75 E79:F79 E71:F71">
    <cfRule type="cellIs" dxfId="3954" priority="69" stopIfTrue="1" operator="notEqual">
      <formula>0</formula>
    </cfRule>
  </conditionalFormatting>
  <conditionalFormatting sqref="E81:F81 E75:F75 E79:F79 E71:F71">
    <cfRule type="cellIs" dxfId="3953" priority="68" stopIfTrue="1" operator="notEqual">
      <formula>0</formula>
    </cfRule>
  </conditionalFormatting>
  <conditionalFormatting sqref="E81:F81 E75:F75 E79:F79 E71:F71">
    <cfRule type="cellIs" dxfId="3952" priority="66" stopIfTrue="1" operator="notEqual">
      <formula>0</formula>
    </cfRule>
  </conditionalFormatting>
  <conditionalFormatting sqref="E81:F81 E75:F75 E79:F79 E71:F71">
    <cfRule type="cellIs" dxfId="3951" priority="64" stopIfTrue="1" operator="notEqual">
      <formula>0</formula>
    </cfRule>
  </conditionalFormatting>
  <conditionalFormatting sqref="E81:F81 E75:F75 E79:F79 E71:F71">
    <cfRule type="cellIs" dxfId="3950" priority="63" stopIfTrue="1" operator="notEqual">
      <formula>0</formula>
    </cfRule>
  </conditionalFormatting>
  <conditionalFormatting sqref="E81:F81 E75:F75 E79:F79 E71:F71">
    <cfRule type="cellIs" dxfId="3949" priority="62" stopIfTrue="1" operator="notEqual">
      <formula>0</formula>
    </cfRule>
  </conditionalFormatting>
  <conditionalFormatting sqref="E81:F81 E75:F75 E79:F79 E71:F71">
    <cfRule type="cellIs" dxfId="3948" priority="61" stopIfTrue="1" operator="notEqual">
      <formula>0</formula>
    </cfRule>
  </conditionalFormatting>
  <conditionalFormatting sqref="E81:F81 E75:F75 E79:F79 E71:F71">
    <cfRule type="cellIs" dxfId="3947" priority="60" stopIfTrue="1" operator="notEqual">
      <formula>0</formula>
    </cfRule>
  </conditionalFormatting>
  <conditionalFormatting sqref="E81:F81 E75:F75 E79:F79 E71:F71">
    <cfRule type="cellIs" dxfId="3946" priority="58" stopIfTrue="1" operator="notEqual">
      <formula>0</formula>
    </cfRule>
  </conditionalFormatting>
  <conditionalFormatting sqref="E81:F81 E75:F75 E79:F79 E71:F71">
    <cfRule type="cellIs" dxfId="3945" priority="56" stopIfTrue="1" operator="notEqual">
      <formula>0</formula>
    </cfRule>
  </conditionalFormatting>
  <conditionalFormatting sqref="E81:F81 E75:F75 E79:F79 E71:F71">
    <cfRule type="cellIs" dxfId="3944" priority="55" stopIfTrue="1" operator="notEqual">
      <formula>0</formula>
    </cfRule>
  </conditionalFormatting>
  <conditionalFormatting sqref="E81:F81 E75:F75 E79:F79 E71:F71">
    <cfRule type="cellIs" dxfId="3943" priority="54" stopIfTrue="1" operator="notEqual">
      <formula>0</formula>
    </cfRule>
  </conditionalFormatting>
  <conditionalFormatting sqref="E81:F81 E75:F75 E79:F79 E71:F71">
    <cfRule type="cellIs" dxfId="3942" priority="53" stopIfTrue="1" operator="notEqual">
      <formula>0</formula>
    </cfRule>
  </conditionalFormatting>
  <conditionalFormatting sqref="E81:F81 E75:F75 E79:F79 E71:F71">
    <cfRule type="cellIs" dxfId="3941" priority="52" stopIfTrue="1" operator="notEqual">
      <formula>0</formula>
    </cfRule>
  </conditionalFormatting>
  <conditionalFormatting sqref="E81:F81 E75:F75 E79:F79 E71:F71">
    <cfRule type="cellIs" dxfId="3940" priority="50" stopIfTrue="1" operator="notEqual">
      <formula>0</formula>
    </cfRule>
  </conditionalFormatting>
  <conditionalFormatting sqref="E81:F81 E75:F75 E79:F79 E71:F71">
    <cfRule type="cellIs" dxfId="3939" priority="48" stopIfTrue="1" operator="notEqual">
      <formula>0</formula>
    </cfRule>
  </conditionalFormatting>
  <conditionalFormatting sqref="E81:F81 E75:F75 E79:F79 E71:F71">
    <cfRule type="cellIs" dxfId="3938" priority="47" stopIfTrue="1" operator="notEqual">
      <formula>0</formula>
    </cfRule>
  </conditionalFormatting>
  <conditionalFormatting sqref="E81:F81 E75:F75 E79:F79 E71:F71">
    <cfRule type="cellIs" dxfId="3937" priority="46" stopIfTrue="1" operator="notEqual">
      <formula>0</formula>
    </cfRule>
  </conditionalFormatting>
  <conditionalFormatting sqref="E81:F81 E75:F75 E79:F79 E71:F71">
    <cfRule type="cellIs" dxfId="3936" priority="45" stopIfTrue="1" operator="notEqual">
      <formula>0</formula>
    </cfRule>
  </conditionalFormatting>
  <conditionalFormatting sqref="E81:F81 E75:F75 E79:F79 E71:F71">
    <cfRule type="cellIs" dxfId="3935" priority="44" stopIfTrue="1" operator="notEqual">
      <formula>0</formula>
    </cfRule>
  </conditionalFormatting>
  <conditionalFormatting sqref="E81:F81 E75:F75 E79:F79 E71:F71">
    <cfRule type="cellIs" dxfId="3934" priority="42" stopIfTrue="1" operator="notEqual">
      <formula>0</formula>
    </cfRule>
  </conditionalFormatting>
  <conditionalFormatting sqref="E81:F81 E75:F75 E79:F79 E71:F71">
    <cfRule type="cellIs" dxfId="3933" priority="40" stopIfTrue="1" operator="notEqual">
      <formula>0</formula>
    </cfRule>
  </conditionalFormatting>
  <conditionalFormatting sqref="E81:F81 E75:F75 E79:F79 E71:F71">
    <cfRule type="cellIs" dxfId="3932" priority="39" stopIfTrue="1" operator="notEqual">
      <formula>0</formula>
    </cfRule>
  </conditionalFormatting>
  <conditionalFormatting sqref="E81:F81 E75:F75 E79:F79 E71:F71">
    <cfRule type="cellIs" dxfId="3931" priority="38" stopIfTrue="1" operator="notEqual">
      <formula>0</formula>
    </cfRule>
  </conditionalFormatting>
  <conditionalFormatting sqref="E81:F81 E75:F75 E79:F79 E71:F71">
    <cfRule type="cellIs" dxfId="3930"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workbookViewId="0">
      <selection activeCell="I103" sqref="I103"/>
    </sheetView>
  </sheetViews>
  <sheetFormatPr defaultRowHeight="13"/>
  <cols>
    <col min="1" max="2" width="9.765625E-2" style="2797" customWidth="1"/>
    <col min="3" max="3" width="62.69921875" style="1665" customWidth="1"/>
    <col min="4" max="4" width="10.69921875" style="1665" customWidth="1"/>
    <col min="5" max="6" width="24.69921875" style="1665" customWidth="1"/>
    <col min="7" max="256" width="9.09765625" style="1665"/>
    <col min="257" max="258" width="9.765625E-2" style="1665" customWidth="1"/>
    <col min="259" max="259" width="62.69921875" style="1665" customWidth="1"/>
    <col min="260" max="260" width="10.69921875" style="1665" customWidth="1"/>
    <col min="261" max="262" width="24.69921875" style="1665" customWidth="1"/>
    <col min="263" max="512" width="9.09765625" style="1665"/>
    <col min="513" max="514" width="9.765625E-2" style="1665" customWidth="1"/>
    <col min="515" max="515" width="62.69921875" style="1665" customWidth="1"/>
    <col min="516" max="516" width="10.69921875" style="1665" customWidth="1"/>
    <col min="517" max="518" width="24.69921875" style="1665" customWidth="1"/>
    <col min="519" max="768" width="9.09765625" style="1665"/>
    <col min="769" max="770" width="9.765625E-2" style="1665" customWidth="1"/>
    <col min="771" max="771" width="62.69921875" style="1665" customWidth="1"/>
    <col min="772" max="772" width="10.69921875" style="1665" customWidth="1"/>
    <col min="773" max="774" width="24.69921875" style="1665" customWidth="1"/>
    <col min="775" max="1024" width="9.09765625" style="1665"/>
    <col min="1025" max="1026" width="9.765625E-2" style="1665" customWidth="1"/>
    <col min="1027" max="1027" width="62.69921875" style="1665" customWidth="1"/>
    <col min="1028" max="1028" width="10.69921875" style="1665" customWidth="1"/>
    <col min="1029" max="1030" width="24.69921875" style="1665" customWidth="1"/>
    <col min="1031" max="1280" width="9.09765625" style="1665"/>
    <col min="1281" max="1282" width="9.765625E-2" style="1665" customWidth="1"/>
    <col min="1283" max="1283" width="62.69921875" style="1665" customWidth="1"/>
    <col min="1284" max="1284" width="10.69921875" style="1665" customWidth="1"/>
    <col min="1285" max="1286" width="24.69921875" style="1665" customWidth="1"/>
    <col min="1287" max="1536" width="9.09765625" style="1665"/>
    <col min="1537" max="1538" width="9.765625E-2" style="1665" customWidth="1"/>
    <col min="1539" max="1539" width="62.69921875" style="1665" customWidth="1"/>
    <col min="1540" max="1540" width="10.69921875" style="1665" customWidth="1"/>
    <col min="1541" max="1542" width="24.69921875" style="1665" customWidth="1"/>
    <col min="1543" max="1792" width="9.09765625" style="1665"/>
    <col min="1793" max="1794" width="9.765625E-2" style="1665" customWidth="1"/>
    <col min="1795" max="1795" width="62.69921875" style="1665" customWidth="1"/>
    <col min="1796" max="1796" width="10.69921875" style="1665" customWidth="1"/>
    <col min="1797" max="1798" width="24.69921875" style="1665" customWidth="1"/>
    <col min="1799" max="2048" width="9.09765625" style="1665"/>
    <col min="2049" max="2050" width="9.765625E-2" style="1665" customWidth="1"/>
    <col min="2051" max="2051" width="62.69921875" style="1665" customWidth="1"/>
    <col min="2052" max="2052" width="10.69921875" style="1665" customWidth="1"/>
    <col min="2053" max="2054" width="24.69921875" style="1665" customWidth="1"/>
    <col min="2055" max="2304" width="9.09765625" style="1665"/>
    <col min="2305" max="2306" width="9.765625E-2" style="1665" customWidth="1"/>
    <col min="2307" max="2307" width="62.69921875" style="1665" customWidth="1"/>
    <col min="2308" max="2308" width="10.69921875" style="1665" customWidth="1"/>
    <col min="2309" max="2310" width="24.69921875" style="1665" customWidth="1"/>
    <col min="2311" max="2560" width="9.09765625" style="1665"/>
    <col min="2561" max="2562" width="9.765625E-2" style="1665" customWidth="1"/>
    <col min="2563" max="2563" width="62.69921875" style="1665" customWidth="1"/>
    <col min="2564" max="2564" width="10.69921875" style="1665" customWidth="1"/>
    <col min="2565" max="2566" width="24.69921875" style="1665" customWidth="1"/>
    <col min="2567" max="2816" width="9.09765625" style="1665"/>
    <col min="2817" max="2818" width="9.765625E-2" style="1665" customWidth="1"/>
    <col min="2819" max="2819" width="62.69921875" style="1665" customWidth="1"/>
    <col min="2820" max="2820" width="10.69921875" style="1665" customWidth="1"/>
    <col min="2821" max="2822" width="24.69921875" style="1665" customWidth="1"/>
    <col min="2823" max="3072" width="9.09765625" style="1665"/>
    <col min="3073" max="3074" width="9.765625E-2" style="1665" customWidth="1"/>
    <col min="3075" max="3075" width="62.69921875" style="1665" customWidth="1"/>
    <col min="3076" max="3076" width="10.69921875" style="1665" customWidth="1"/>
    <col min="3077" max="3078" width="24.69921875" style="1665" customWidth="1"/>
    <col min="3079" max="3328" width="9.09765625" style="1665"/>
    <col min="3329" max="3330" width="9.765625E-2" style="1665" customWidth="1"/>
    <col min="3331" max="3331" width="62.69921875" style="1665" customWidth="1"/>
    <col min="3332" max="3332" width="10.69921875" style="1665" customWidth="1"/>
    <col min="3333" max="3334" width="24.69921875" style="1665" customWidth="1"/>
    <col min="3335" max="3584" width="9.09765625" style="1665"/>
    <col min="3585" max="3586" width="9.765625E-2" style="1665" customWidth="1"/>
    <col min="3587" max="3587" width="62.69921875" style="1665" customWidth="1"/>
    <col min="3588" max="3588" width="10.69921875" style="1665" customWidth="1"/>
    <col min="3589" max="3590" width="24.69921875" style="1665" customWidth="1"/>
    <col min="3591" max="3840" width="9.09765625" style="1665"/>
    <col min="3841" max="3842" width="9.765625E-2" style="1665" customWidth="1"/>
    <col min="3843" max="3843" width="62.69921875" style="1665" customWidth="1"/>
    <col min="3844" max="3844" width="10.69921875" style="1665" customWidth="1"/>
    <col min="3845" max="3846" width="24.69921875" style="1665" customWidth="1"/>
    <col min="3847" max="4096" width="9.09765625" style="1665"/>
    <col min="4097" max="4098" width="9.765625E-2" style="1665" customWidth="1"/>
    <col min="4099" max="4099" width="62.69921875" style="1665" customWidth="1"/>
    <col min="4100" max="4100" width="10.69921875" style="1665" customWidth="1"/>
    <col min="4101" max="4102" width="24.69921875" style="1665" customWidth="1"/>
    <col min="4103" max="4352" width="9.09765625" style="1665"/>
    <col min="4353" max="4354" width="9.765625E-2" style="1665" customWidth="1"/>
    <col min="4355" max="4355" width="62.69921875" style="1665" customWidth="1"/>
    <col min="4356" max="4356" width="10.69921875" style="1665" customWidth="1"/>
    <col min="4357" max="4358" width="24.69921875" style="1665" customWidth="1"/>
    <col min="4359" max="4608" width="9.09765625" style="1665"/>
    <col min="4609" max="4610" width="9.765625E-2" style="1665" customWidth="1"/>
    <col min="4611" max="4611" width="62.69921875" style="1665" customWidth="1"/>
    <col min="4612" max="4612" width="10.69921875" style="1665" customWidth="1"/>
    <col min="4613" max="4614" width="24.69921875" style="1665" customWidth="1"/>
    <col min="4615" max="4864" width="9.09765625" style="1665"/>
    <col min="4865" max="4866" width="9.765625E-2" style="1665" customWidth="1"/>
    <col min="4867" max="4867" width="62.69921875" style="1665" customWidth="1"/>
    <col min="4868" max="4868" width="10.69921875" style="1665" customWidth="1"/>
    <col min="4869" max="4870" width="24.69921875" style="1665" customWidth="1"/>
    <col min="4871" max="5120" width="9.09765625" style="1665"/>
    <col min="5121" max="5122" width="9.765625E-2" style="1665" customWidth="1"/>
    <col min="5123" max="5123" width="62.69921875" style="1665" customWidth="1"/>
    <col min="5124" max="5124" width="10.69921875" style="1665" customWidth="1"/>
    <col min="5125" max="5126" width="24.69921875" style="1665" customWidth="1"/>
    <col min="5127" max="5376" width="9.09765625" style="1665"/>
    <col min="5377" max="5378" width="9.765625E-2" style="1665" customWidth="1"/>
    <col min="5379" max="5379" width="62.69921875" style="1665" customWidth="1"/>
    <col min="5380" max="5380" width="10.69921875" style="1665" customWidth="1"/>
    <col min="5381" max="5382" width="24.69921875" style="1665" customWidth="1"/>
    <col min="5383" max="5632" width="9.09765625" style="1665"/>
    <col min="5633" max="5634" width="9.765625E-2" style="1665" customWidth="1"/>
    <col min="5635" max="5635" width="62.69921875" style="1665" customWidth="1"/>
    <col min="5636" max="5636" width="10.69921875" style="1665" customWidth="1"/>
    <col min="5637" max="5638" width="24.69921875" style="1665" customWidth="1"/>
    <col min="5639" max="5888" width="9.09765625" style="1665"/>
    <col min="5889" max="5890" width="9.765625E-2" style="1665" customWidth="1"/>
    <col min="5891" max="5891" width="62.69921875" style="1665" customWidth="1"/>
    <col min="5892" max="5892" width="10.69921875" style="1665" customWidth="1"/>
    <col min="5893" max="5894" width="24.69921875" style="1665" customWidth="1"/>
    <col min="5895" max="6144" width="9.09765625" style="1665"/>
    <col min="6145" max="6146" width="9.765625E-2" style="1665" customWidth="1"/>
    <col min="6147" max="6147" width="62.69921875" style="1665" customWidth="1"/>
    <col min="6148" max="6148" width="10.69921875" style="1665" customWidth="1"/>
    <col min="6149" max="6150" width="24.69921875" style="1665" customWidth="1"/>
    <col min="6151" max="6400" width="9.09765625" style="1665"/>
    <col min="6401" max="6402" width="9.765625E-2" style="1665" customWidth="1"/>
    <col min="6403" max="6403" width="62.69921875" style="1665" customWidth="1"/>
    <col min="6404" max="6404" width="10.69921875" style="1665" customWidth="1"/>
    <col min="6405" max="6406" width="24.69921875" style="1665" customWidth="1"/>
    <col min="6407" max="6656" width="9.09765625" style="1665"/>
    <col min="6657" max="6658" width="9.765625E-2" style="1665" customWidth="1"/>
    <col min="6659" max="6659" width="62.69921875" style="1665" customWidth="1"/>
    <col min="6660" max="6660" width="10.69921875" style="1665" customWidth="1"/>
    <col min="6661" max="6662" width="24.69921875" style="1665" customWidth="1"/>
    <col min="6663" max="6912" width="9.09765625" style="1665"/>
    <col min="6913" max="6914" width="9.765625E-2" style="1665" customWidth="1"/>
    <col min="6915" max="6915" width="62.69921875" style="1665" customWidth="1"/>
    <col min="6916" max="6916" width="10.69921875" style="1665" customWidth="1"/>
    <col min="6917" max="6918" width="24.69921875" style="1665" customWidth="1"/>
    <col min="6919" max="7168" width="9.09765625" style="1665"/>
    <col min="7169" max="7170" width="9.765625E-2" style="1665" customWidth="1"/>
    <col min="7171" max="7171" width="62.69921875" style="1665" customWidth="1"/>
    <col min="7172" max="7172" width="10.69921875" style="1665" customWidth="1"/>
    <col min="7173" max="7174" width="24.69921875" style="1665" customWidth="1"/>
    <col min="7175" max="7424" width="9.09765625" style="1665"/>
    <col min="7425" max="7426" width="9.765625E-2" style="1665" customWidth="1"/>
    <col min="7427" max="7427" width="62.69921875" style="1665" customWidth="1"/>
    <col min="7428" max="7428" width="10.69921875" style="1665" customWidth="1"/>
    <col min="7429" max="7430" width="24.69921875" style="1665" customWidth="1"/>
    <col min="7431" max="7680" width="9.09765625" style="1665"/>
    <col min="7681" max="7682" width="9.765625E-2" style="1665" customWidth="1"/>
    <col min="7683" max="7683" width="62.69921875" style="1665" customWidth="1"/>
    <col min="7684" max="7684" width="10.69921875" style="1665" customWidth="1"/>
    <col min="7685" max="7686" width="24.69921875" style="1665" customWidth="1"/>
    <col min="7687" max="7936" width="9.09765625" style="1665"/>
    <col min="7937" max="7938" width="9.765625E-2" style="1665" customWidth="1"/>
    <col min="7939" max="7939" width="62.69921875" style="1665" customWidth="1"/>
    <col min="7940" max="7940" width="10.69921875" style="1665" customWidth="1"/>
    <col min="7941" max="7942" width="24.69921875" style="1665" customWidth="1"/>
    <col min="7943" max="8192" width="9.09765625" style="1665"/>
    <col min="8193" max="8194" width="9.765625E-2" style="1665" customWidth="1"/>
    <col min="8195" max="8195" width="62.69921875" style="1665" customWidth="1"/>
    <col min="8196" max="8196" width="10.69921875" style="1665" customWidth="1"/>
    <col min="8197" max="8198" width="24.69921875" style="1665" customWidth="1"/>
    <col min="8199" max="8448" width="9.09765625" style="1665"/>
    <col min="8449" max="8450" width="9.765625E-2" style="1665" customWidth="1"/>
    <col min="8451" max="8451" width="62.69921875" style="1665" customWidth="1"/>
    <col min="8452" max="8452" width="10.69921875" style="1665" customWidth="1"/>
    <col min="8453" max="8454" width="24.69921875" style="1665" customWidth="1"/>
    <col min="8455" max="8704" width="9.09765625" style="1665"/>
    <col min="8705" max="8706" width="9.765625E-2" style="1665" customWidth="1"/>
    <col min="8707" max="8707" width="62.69921875" style="1665" customWidth="1"/>
    <col min="8708" max="8708" width="10.69921875" style="1665" customWidth="1"/>
    <col min="8709" max="8710" width="24.69921875" style="1665" customWidth="1"/>
    <col min="8711" max="8960" width="9.09765625" style="1665"/>
    <col min="8961" max="8962" width="9.765625E-2" style="1665" customWidth="1"/>
    <col min="8963" max="8963" width="62.69921875" style="1665" customWidth="1"/>
    <col min="8964" max="8964" width="10.69921875" style="1665" customWidth="1"/>
    <col min="8965" max="8966" width="24.69921875" style="1665" customWidth="1"/>
    <col min="8967" max="9216" width="9.09765625" style="1665"/>
    <col min="9217" max="9218" width="9.765625E-2" style="1665" customWidth="1"/>
    <col min="9219" max="9219" width="62.69921875" style="1665" customWidth="1"/>
    <col min="9220" max="9220" width="10.69921875" style="1665" customWidth="1"/>
    <col min="9221" max="9222" width="24.69921875" style="1665" customWidth="1"/>
    <col min="9223" max="9472" width="9.09765625" style="1665"/>
    <col min="9473" max="9474" width="9.765625E-2" style="1665" customWidth="1"/>
    <col min="9475" max="9475" width="62.69921875" style="1665" customWidth="1"/>
    <col min="9476" max="9476" width="10.69921875" style="1665" customWidth="1"/>
    <col min="9477" max="9478" width="24.69921875" style="1665" customWidth="1"/>
    <col min="9479" max="9728" width="9.09765625" style="1665"/>
    <col min="9729" max="9730" width="9.765625E-2" style="1665" customWidth="1"/>
    <col min="9731" max="9731" width="62.69921875" style="1665" customWidth="1"/>
    <col min="9732" max="9732" width="10.69921875" style="1665" customWidth="1"/>
    <col min="9733" max="9734" width="24.69921875" style="1665" customWidth="1"/>
    <col min="9735" max="9984" width="9.09765625" style="1665"/>
    <col min="9985" max="9986" width="9.765625E-2" style="1665" customWidth="1"/>
    <col min="9987" max="9987" width="62.69921875" style="1665" customWidth="1"/>
    <col min="9988" max="9988" width="10.69921875" style="1665" customWidth="1"/>
    <col min="9989" max="9990" width="24.69921875" style="1665" customWidth="1"/>
    <col min="9991" max="10240" width="9.09765625" style="1665"/>
    <col min="10241" max="10242" width="9.765625E-2" style="1665" customWidth="1"/>
    <col min="10243" max="10243" width="62.69921875" style="1665" customWidth="1"/>
    <col min="10244" max="10244" width="10.69921875" style="1665" customWidth="1"/>
    <col min="10245" max="10246" width="24.69921875" style="1665" customWidth="1"/>
    <col min="10247" max="10496" width="9.09765625" style="1665"/>
    <col min="10497" max="10498" width="9.765625E-2" style="1665" customWidth="1"/>
    <col min="10499" max="10499" width="62.69921875" style="1665" customWidth="1"/>
    <col min="10500" max="10500" width="10.69921875" style="1665" customWidth="1"/>
    <col min="10501" max="10502" width="24.69921875" style="1665" customWidth="1"/>
    <col min="10503" max="10752" width="9.09765625" style="1665"/>
    <col min="10753" max="10754" width="9.765625E-2" style="1665" customWidth="1"/>
    <col min="10755" max="10755" width="62.69921875" style="1665" customWidth="1"/>
    <col min="10756" max="10756" width="10.69921875" style="1665" customWidth="1"/>
    <col min="10757" max="10758" width="24.69921875" style="1665" customWidth="1"/>
    <col min="10759" max="11008" width="9.09765625" style="1665"/>
    <col min="11009" max="11010" width="9.765625E-2" style="1665" customWidth="1"/>
    <col min="11011" max="11011" width="62.69921875" style="1665" customWidth="1"/>
    <col min="11012" max="11012" width="10.69921875" style="1665" customWidth="1"/>
    <col min="11013" max="11014" width="24.69921875" style="1665" customWidth="1"/>
    <col min="11015" max="11264" width="9.09765625" style="1665"/>
    <col min="11265" max="11266" width="9.765625E-2" style="1665" customWidth="1"/>
    <col min="11267" max="11267" width="62.69921875" style="1665" customWidth="1"/>
    <col min="11268" max="11268" width="10.69921875" style="1665" customWidth="1"/>
    <col min="11269" max="11270" width="24.69921875" style="1665" customWidth="1"/>
    <col min="11271" max="11520" width="9.09765625" style="1665"/>
    <col min="11521" max="11522" width="9.765625E-2" style="1665" customWidth="1"/>
    <col min="11523" max="11523" width="62.69921875" style="1665" customWidth="1"/>
    <col min="11524" max="11524" width="10.69921875" style="1665" customWidth="1"/>
    <col min="11525" max="11526" width="24.69921875" style="1665" customWidth="1"/>
    <col min="11527" max="11776" width="9.09765625" style="1665"/>
    <col min="11777" max="11778" width="9.765625E-2" style="1665" customWidth="1"/>
    <col min="11779" max="11779" width="62.69921875" style="1665" customWidth="1"/>
    <col min="11780" max="11780" width="10.69921875" style="1665" customWidth="1"/>
    <col min="11781" max="11782" width="24.69921875" style="1665" customWidth="1"/>
    <col min="11783" max="12032" width="9.09765625" style="1665"/>
    <col min="12033" max="12034" width="9.765625E-2" style="1665" customWidth="1"/>
    <col min="12035" max="12035" width="62.69921875" style="1665" customWidth="1"/>
    <col min="12036" max="12036" width="10.69921875" style="1665" customWidth="1"/>
    <col min="12037" max="12038" width="24.69921875" style="1665" customWidth="1"/>
    <col min="12039" max="12288" width="9.09765625" style="1665"/>
    <col min="12289" max="12290" width="9.765625E-2" style="1665" customWidth="1"/>
    <col min="12291" max="12291" width="62.69921875" style="1665" customWidth="1"/>
    <col min="12292" max="12292" width="10.69921875" style="1665" customWidth="1"/>
    <col min="12293" max="12294" width="24.69921875" style="1665" customWidth="1"/>
    <col min="12295" max="12544" width="9.09765625" style="1665"/>
    <col min="12545" max="12546" width="9.765625E-2" style="1665" customWidth="1"/>
    <col min="12547" max="12547" width="62.69921875" style="1665" customWidth="1"/>
    <col min="12548" max="12548" width="10.69921875" style="1665" customWidth="1"/>
    <col min="12549" max="12550" width="24.69921875" style="1665" customWidth="1"/>
    <col min="12551" max="12800" width="9.09765625" style="1665"/>
    <col min="12801" max="12802" width="9.765625E-2" style="1665" customWidth="1"/>
    <col min="12803" max="12803" width="62.69921875" style="1665" customWidth="1"/>
    <col min="12804" max="12804" width="10.69921875" style="1665" customWidth="1"/>
    <col min="12805" max="12806" width="24.69921875" style="1665" customWidth="1"/>
    <col min="12807" max="13056" width="9.09765625" style="1665"/>
    <col min="13057" max="13058" width="9.765625E-2" style="1665" customWidth="1"/>
    <col min="13059" max="13059" width="62.69921875" style="1665" customWidth="1"/>
    <col min="13060" max="13060" width="10.69921875" style="1665" customWidth="1"/>
    <col min="13061" max="13062" width="24.69921875" style="1665" customWidth="1"/>
    <col min="13063" max="13312" width="9.09765625" style="1665"/>
    <col min="13313" max="13314" width="9.765625E-2" style="1665" customWidth="1"/>
    <col min="13315" max="13315" width="62.69921875" style="1665" customWidth="1"/>
    <col min="13316" max="13316" width="10.69921875" style="1665" customWidth="1"/>
    <col min="13317" max="13318" width="24.69921875" style="1665" customWidth="1"/>
    <col min="13319" max="13568" width="9.09765625" style="1665"/>
    <col min="13569" max="13570" width="9.765625E-2" style="1665" customWidth="1"/>
    <col min="13571" max="13571" width="62.69921875" style="1665" customWidth="1"/>
    <col min="13572" max="13572" width="10.69921875" style="1665" customWidth="1"/>
    <col min="13573" max="13574" width="24.69921875" style="1665" customWidth="1"/>
    <col min="13575" max="13824" width="9.09765625" style="1665"/>
    <col min="13825" max="13826" width="9.765625E-2" style="1665" customWidth="1"/>
    <col min="13827" max="13827" width="62.69921875" style="1665" customWidth="1"/>
    <col min="13828" max="13828" width="10.69921875" style="1665" customWidth="1"/>
    <col min="13829" max="13830" width="24.69921875" style="1665" customWidth="1"/>
    <col min="13831" max="14080" width="9.09765625" style="1665"/>
    <col min="14081" max="14082" width="9.765625E-2" style="1665" customWidth="1"/>
    <col min="14083" max="14083" width="62.69921875" style="1665" customWidth="1"/>
    <col min="14084" max="14084" width="10.69921875" style="1665" customWidth="1"/>
    <col min="14085" max="14086" width="24.69921875" style="1665" customWidth="1"/>
    <col min="14087" max="14336" width="9.09765625" style="1665"/>
    <col min="14337" max="14338" width="9.765625E-2" style="1665" customWidth="1"/>
    <col min="14339" max="14339" width="62.69921875" style="1665" customWidth="1"/>
    <col min="14340" max="14340" width="10.69921875" style="1665" customWidth="1"/>
    <col min="14341" max="14342" width="24.69921875" style="1665" customWidth="1"/>
    <col min="14343" max="14592" width="9.09765625" style="1665"/>
    <col min="14593" max="14594" width="9.765625E-2" style="1665" customWidth="1"/>
    <col min="14595" max="14595" width="62.69921875" style="1665" customWidth="1"/>
    <col min="14596" max="14596" width="10.69921875" style="1665" customWidth="1"/>
    <col min="14597" max="14598" width="24.69921875" style="1665" customWidth="1"/>
    <col min="14599" max="14848" width="9.09765625" style="1665"/>
    <col min="14849" max="14850" width="9.765625E-2" style="1665" customWidth="1"/>
    <col min="14851" max="14851" width="62.69921875" style="1665" customWidth="1"/>
    <col min="14852" max="14852" width="10.69921875" style="1665" customWidth="1"/>
    <col min="14853" max="14854" width="24.69921875" style="1665" customWidth="1"/>
    <col min="14855" max="15104" width="9.09765625" style="1665"/>
    <col min="15105" max="15106" width="9.765625E-2" style="1665" customWidth="1"/>
    <col min="15107" max="15107" width="62.69921875" style="1665" customWidth="1"/>
    <col min="15108" max="15108" width="10.69921875" style="1665" customWidth="1"/>
    <col min="15109" max="15110" width="24.69921875" style="1665" customWidth="1"/>
    <col min="15111" max="15360" width="9.09765625" style="1665"/>
    <col min="15361" max="15362" width="9.765625E-2" style="1665" customWidth="1"/>
    <col min="15363" max="15363" width="62.69921875" style="1665" customWidth="1"/>
    <col min="15364" max="15364" width="10.69921875" style="1665" customWidth="1"/>
    <col min="15365" max="15366" width="24.69921875" style="1665" customWidth="1"/>
    <col min="15367" max="15616" width="9.09765625" style="1665"/>
    <col min="15617" max="15618" width="9.765625E-2" style="1665" customWidth="1"/>
    <col min="15619" max="15619" width="62.69921875" style="1665" customWidth="1"/>
    <col min="15620" max="15620" width="10.69921875" style="1665" customWidth="1"/>
    <col min="15621" max="15622" width="24.69921875" style="1665" customWidth="1"/>
    <col min="15623" max="15872" width="9.09765625" style="1665"/>
    <col min="15873" max="15874" width="9.765625E-2" style="1665" customWidth="1"/>
    <col min="15875" max="15875" width="62.69921875" style="1665" customWidth="1"/>
    <col min="15876" max="15876" width="10.69921875" style="1665" customWidth="1"/>
    <col min="15877" max="15878" width="24.69921875" style="1665" customWidth="1"/>
    <col min="15879" max="16128" width="9.09765625" style="1665"/>
    <col min="16129" max="16130" width="9.765625E-2" style="1665" customWidth="1"/>
    <col min="16131" max="16131" width="62.69921875" style="1665" customWidth="1"/>
    <col min="16132" max="16132" width="10.69921875" style="1665" customWidth="1"/>
    <col min="16133" max="16134" width="24.69921875" style="1665" customWidth="1"/>
    <col min="16135" max="16384" width="9.09765625" style="1665"/>
  </cols>
  <sheetData>
    <row r="1" spans="1:10">
      <c r="A1" s="2840"/>
      <c r="B1" s="2841"/>
      <c r="C1" s="1662"/>
      <c r="D1" s="1662"/>
      <c r="E1" s="1662"/>
      <c r="F1" s="1662"/>
      <c r="G1" s="1664"/>
      <c r="H1" s="1664"/>
      <c r="I1" s="1707"/>
      <c r="J1" s="1664"/>
    </row>
    <row r="2" spans="1:10" ht="25" customHeight="1">
      <c r="A2" s="2840"/>
      <c r="B2" s="2841"/>
      <c r="C2" s="3114" t="s">
        <v>5810</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1666"/>
      <c r="D4" s="1662"/>
      <c r="E4" s="1662"/>
      <c r="F4" s="1709"/>
      <c r="G4" s="1664"/>
      <c r="H4" s="1664"/>
      <c r="I4" s="1664"/>
      <c r="J4" s="1664"/>
    </row>
    <row r="5" spans="1:10" ht="16" customHeight="1" thickBot="1">
      <c r="A5" s="2840"/>
      <c r="B5" s="2841"/>
      <c r="C5" s="2038" t="str">
        <f>Lead!$B$5&amp;"："&amp;Lead!$C$5</f>
        <v>编制单位：余江县天骏投资管理有限公司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0</v>
      </c>
      <c r="F8" s="2078">
        <f>VLOOKUP($B8,Sheet_Trialbal,10,0)</f>
        <v>0</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50.09</v>
      </c>
      <c r="F10" s="2078">
        <f>VLOOKUP($B10,Sheet_Trialbal,10,0)</f>
        <v>21238.44</v>
      </c>
      <c r="G10" s="852"/>
      <c r="H10" s="852"/>
      <c r="I10" s="1664"/>
      <c r="J10" s="1664"/>
    </row>
    <row r="11" spans="1:10" ht="19.5" customHeight="1">
      <c r="A11" s="2842" t="str">
        <f t="shared" si="0"/>
        <v>＝</v>
      </c>
      <c r="B11" s="2881">
        <v>7048</v>
      </c>
      <c r="C11" s="2075" t="str">
        <f t="shared" si="1"/>
        <v>经营活动现金流入小计</v>
      </c>
      <c r="D11" s="2076"/>
      <c r="E11" s="2077">
        <f>SUM(E8:E10)</f>
        <v>50.09</v>
      </c>
      <c r="F11" s="2078">
        <f>SUM(F8:F10)</f>
        <v>21238.44</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0</v>
      </c>
      <c r="F12" s="2078">
        <f>VLOOKUP($B12,Sheet_Trialbal,10,0)</f>
        <v>0</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0</v>
      </c>
      <c r="F13" s="2078">
        <f>VLOOKUP($B13,Sheet_Trialbal,10,0)</f>
        <v>0</v>
      </c>
      <c r="G13" s="852"/>
      <c r="H13" s="852"/>
      <c r="I13" s="1664"/>
      <c r="J13" s="1664"/>
    </row>
    <row r="14" spans="1:10" ht="19.5" customHeight="1">
      <c r="A14" s="2842">
        <f t="shared" si="0"/>
        <v>0</v>
      </c>
      <c r="B14" s="2881">
        <v>7071</v>
      </c>
      <c r="C14" s="2079" t="str">
        <f t="shared" si="1"/>
        <v>支付的各项税费</v>
      </c>
      <c r="D14" s="2076"/>
      <c r="E14" s="2077">
        <f>VLOOKUP($B14,Sheet_Trialbal,6,0)</f>
        <v>0</v>
      </c>
      <c r="F14" s="2078">
        <f>VLOOKUP($B14,Sheet_Trialbal,10,0)</f>
        <v>0</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2375</v>
      </c>
      <c r="F15" s="2078">
        <f>VLOOKUP($B15,Sheet_Trialbal,10,0)</f>
        <v>3432.76</v>
      </c>
      <c r="G15" s="852"/>
      <c r="H15" s="852"/>
      <c r="I15" s="1664"/>
      <c r="J15" s="1664"/>
    </row>
    <row r="16" spans="1:10" ht="19.5" customHeight="1">
      <c r="A16" s="2842" t="str">
        <f t="shared" si="0"/>
        <v>＝</v>
      </c>
      <c r="B16" s="2881">
        <v>7098</v>
      </c>
      <c r="C16" s="2075" t="str">
        <f t="shared" si="1"/>
        <v>经营活动现金流出小计</v>
      </c>
      <c r="D16" s="2076"/>
      <c r="E16" s="2077">
        <f>SUM(E12:E15)</f>
        <v>2375</v>
      </c>
      <c r="F16" s="2078">
        <f>SUM(F12:F15)</f>
        <v>3432.76</v>
      </c>
      <c r="G16" s="852"/>
      <c r="H16" s="852"/>
      <c r="I16" s="1664"/>
      <c r="J16" s="1664"/>
    </row>
    <row r="17" spans="1:10" ht="19.5" customHeight="1">
      <c r="A17" s="2842" t="str">
        <f t="shared" si="0"/>
        <v>＝</v>
      </c>
      <c r="B17" s="2881">
        <v>7099</v>
      </c>
      <c r="C17" s="2075" t="str">
        <f t="shared" si="1"/>
        <v>经营活动产生的现金流量净额</v>
      </c>
      <c r="D17" s="2076"/>
      <c r="E17" s="2077">
        <f>SUM(E11,-E16)</f>
        <v>-2324.91</v>
      </c>
      <c r="F17" s="2078">
        <f>SUM(F11,-F16)</f>
        <v>17805.68</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0</v>
      </c>
      <c r="F25" s="2078">
        <f>VLOOKUP($B25,Sheet_Trialbal,10,0)</f>
        <v>0</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0</v>
      </c>
      <c r="F29" s="2078">
        <f>SUM(F25:F28)</f>
        <v>0</v>
      </c>
      <c r="G29" s="852"/>
      <c r="H29" s="852"/>
      <c r="I29" s="1664"/>
      <c r="J29" s="1664"/>
    </row>
    <row r="30" spans="1:10" ht="19.5" customHeight="1">
      <c r="A30" s="2842" t="str">
        <f t="shared" si="0"/>
        <v>＝</v>
      </c>
      <c r="B30" s="2881">
        <v>7199</v>
      </c>
      <c r="C30" s="2075" t="str">
        <f t="shared" si="1"/>
        <v>投资活动产生的现金流量净额</v>
      </c>
      <c r="D30" s="2076"/>
      <c r="E30" s="2077">
        <f>SUM(E24,-E29)</f>
        <v>0</v>
      </c>
      <c r="F30" s="2078">
        <f>SUM(F24,-F29)</f>
        <v>0</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0</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-2324.91</v>
      </c>
      <c r="F42" s="2078">
        <f>SUM(F17,F30,F40,F41)</f>
        <v>17805.68</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17805.68</v>
      </c>
      <c r="F43" s="2078">
        <f>VLOOKUP($B43,Sheet_Trialbal,10,0)</f>
        <v>0</v>
      </c>
      <c r="G43" s="852"/>
      <c r="H43" s="852"/>
      <c r="I43" s="1664"/>
      <c r="J43" s="1664"/>
    </row>
    <row r="44" spans="1:16" ht="19.5" customHeight="1" thickBot="1">
      <c r="A44" s="2842" t="str">
        <f t="shared" si="0"/>
        <v>＝</v>
      </c>
      <c r="B44" s="2881">
        <v>7399</v>
      </c>
      <c r="C44" s="2081" t="str">
        <f t="shared" si="1"/>
        <v>六、期末现金及现金等价物余额</v>
      </c>
      <c r="D44" s="2082"/>
      <c r="E44" s="2083">
        <f>SUM(E42,E43)</f>
        <v>15480.77</v>
      </c>
      <c r="F44" s="2084">
        <f>SUM(F42,F43)</f>
        <v>17805.68</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7">
      <c r="A47" s="2842"/>
      <c r="B47" s="2852"/>
      <c r="C47" s="1914"/>
      <c r="D47" s="1912"/>
      <c r="E47" s="852"/>
      <c r="F47" s="852"/>
      <c r="G47" s="852"/>
      <c r="H47" s="852"/>
      <c r="I47" s="1664"/>
      <c r="J47" s="1664"/>
      <c r="K47" s="1664"/>
      <c r="L47" s="1664"/>
      <c r="M47" s="1664"/>
      <c r="N47" s="1664"/>
      <c r="O47" s="1664"/>
      <c r="P47" s="1664"/>
    </row>
    <row r="48" spans="1:16" ht="17.5" thickBot="1">
      <c r="A48" s="2863"/>
      <c r="B48" s="2883"/>
      <c r="C48" s="1915" t="s">
        <v>5823</v>
      </c>
      <c r="D48" s="1916"/>
      <c r="E48" s="1917"/>
      <c r="F48" s="1917"/>
      <c r="G48" s="1850"/>
      <c r="H48" s="1850"/>
      <c r="I48" s="1664"/>
      <c r="J48" s="1664"/>
      <c r="K48" s="1664"/>
      <c r="L48" s="1664"/>
      <c r="M48" s="1664"/>
      <c r="N48" s="1664"/>
      <c r="O48" s="1664"/>
      <c r="P48" s="1664"/>
    </row>
    <row r="49" spans="1:10" ht="17">
      <c r="A49" s="2863"/>
      <c r="B49" s="2883"/>
      <c r="C49" s="1918" t="s">
        <v>5824</v>
      </c>
      <c r="D49" s="1919"/>
      <c r="E49" s="1920" t="s">
        <v>2587</v>
      </c>
      <c r="F49" s="1921" t="s">
        <v>2588</v>
      </c>
      <c r="G49" s="1857"/>
      <c r="H49" s="1857"/>
      <c r="I49" s="1751"/>
      <c r="J49" s="1664"/>
    </row>
    <row r="50" spans="1:10" ht="17">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7">
      <c r="A51" s="2884">
        <f t="shared" si="4"/>
        <v>0</v>
      </c>
      <c r="B51" s="2864">
        <v>7502</v>
      </c>
      <c r="C51" s="1926" t="str">
        <f>VLOOKUP($B51,Sheet_Items,6,0)</f>
        <v>净利润</v>
      </c>
      <c r="D51" s="1923"/>
      <c r="E51" s="1924">
        <f>VLOOKUP(6799,Sheet_Trialbal,6,0)</f>
        <v>-2324.91</v>
      </c>
      <c r="F51" s="1925">
        <f>VLOOKUP(6799,Sheet_Trialbal,10,0)</f>
        <v>-1714.32</v>
      </c>
      <c r="G51" s="1857"/>
      <c r="H51" s="1857"/>
      <c r="I51" s="1751"/>
      <c r="J51" s="1664"/>
    </row>
    <row r="52" spans="1:10" ht="17">
      <c r="A52" s="2884">
        <f t="shared" si="4"/>
        <v>0</v>
      </c>
      <c r="B52" s="2864">
        <v>7503</v>
      </c>
      <c r="C52" s="1926" t="str">
        <f>VLOOKUP($B52,Sheet_Items,6,0)</f>
        <v>加：资产减值准备</v>
      </c>
      <c r="D52" s="1923"/>
      <c r="E52" s="1924">
        <f t="shared" ref="E52:E67" si="5">VLOOKUP($B52,Sheet_Trialbal,6,0)</f>
        <v>0</v>
      </c>
      <c r="F52" s="1925">
        <f t="shared" ref="F52:F67" si="6">VLOOKUP($B52,Sheet_Trialbal,10,0)</f>
        <v>0</v>
      </c>
      <c r="G52" s="1857"/>
      <c r="H52" s="1857"/>
      <c r="I52" s="1751"/>
      <c r="J52" s="1664"/>
    </row>
    <row r="53" spans="1:10" ht="17">
      <c r="A53" s="2884" t="str">
        <f t="shared" si="4"/>
        <v>_JR</v>
      </c>
      <c r="B53" s="2864">
        <v>7504</v>
      </c>
      <c r="C53" s="1926" t="str">
        <f t="shared" ref="C53:C78" si="7">VLOOKUP($B53,Sheet_Items,6,0)</f>
        <v>信用减值损失</v>
      </c>
      <c r="D53" s="1923"/>
      <c r="E53" s="1924">
        <f t="shared" si="5"/>
        <v>0</v>
      </c>
      <c r="F53" s="1925">
        <f t="shared" si="6"/>
        <v>0</v>
      </c>
      <c r="G53" s="1857"/>
      <c r="H53" s="1857"/>
      <c r="I53" s="1751"/>
      <c r="J53" s="1664"/>
    </row>
    <row r="54" spans="1:10" ht="26">
      <c r="A54" s="2884">
        <f t="shared" si="4"/>
        <v>0</v>
      </c>
      <c r="B54" s="2864">
        <v>7505</v>
      </c>
      <c r="C54" s="1926" t="str">
        <f t="shared" si="7"/>
        <v>固定资产折旧、投资性房地产折旧、油气资产折耗、生产性生物资产折旧</v>
      </c>
      <c r="D54" s="1923"/>
      <c r="E54" s="1924">
        <f t="shared" si="5"/>
        <v>0</v>
      </c>
      <c r="F54" s="1925">
        <f t="shared" si="6"/>
        <v>0</v>
      </c>
      <c r="G54" s="1857"/>
      <c r="H54" s="1857"/>
      <c r="I54" s="1751"/>
      <c r="J54" s="1664"/>
    </row>
    <row r="55" spans="1:10" ht="17">
      <c r="A55" s="2884">
        <f t="shared" si="4"/>
        <v>0</v>
      </c>
      <c r="B55" s="2864">
        <v>7506</v>
      </c>
      <c r="C55" s="1926" t="str">
        <f t="shared" si="7"/>
        <v>无形资产摊销</v>
      </c>
      <c r="D55" s="1923"/>
      <c r="E55" s="1924">
        <f t="shared" si="5"/>
        <v>0</v>
      </c>
      <c r="F55" s="1925">
        <f t="shared" si="6"/>
        <v>0</v>
      </c>
      <c r="G55" s="1857"/>
      <c r="H55" s="1857"/>
      <c r="I55" s="1751"/>
      <c r="J55" s="1664"/>
    </row>
    <row r="56" spans="1:10" ht="17">
      <c r="A56" s="2884">
        <f t="shared" si="4"/>
        <v>0</v>
      </c>
      <c r="B56" s="2864">
        <v>7507</v>
      </c>
      <c r="C56" s="1926" t="str">
        <f t="shared" si="7"/>
        <v>长期待摊费用摊销</v>
      </c>
      <c r="D56" s="1923"/>
      <c r="E56" s="1924">
        <f t="shared" si="5"/>
        <v>0</v>
      </c>
      <c r="F56" s="1925">
        <f t="shared" si="6"/>
        <v>0</v>
      </c>
      <c r="G56" s="1857"/>
      <c r="H56" s="1857"/>
      <c r="I56" s="1751"/>
      <c r="J56" s="1664"/>
    </row>
    <row r="57" spans="1:10" ht="26">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7">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7">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7">
      <c r="A60" s="2884">
        <f t="shared" si="4"/>
        <v>0</v>
      </c>
      <c r="B60" s="2864">
        <v>7511</v>
      </c>
      <c r="C60" s="1926" t="str">
        <f t="shared" si="7"/>
        <v>财务费用（收益以“－”号填列）</v>
      </c>
      <c r="D60" s="1923"/>
      <c r="E60" s="1924">
        <f t="shared" si="5"/>
        <v>0</v>
      </c>
      <c r="F60" s="1925">
        <f t="shared" si="6"/>
        <v>0</v>
      </c>
      <c r="G60" s="1857"/>
      <c r="H60" s="1857"/>
      <c r="I60" s="1751"/>
      <c r="J60" s="1664"/>
    </row>
    <row r="61" spans="1:10" ht="17">
      <c r="A61" s="2884">
        <f t="shared" si="4"/>
        <v>0</v>
      </c>
      <c r="B61" s="2864">
        <v>7512</v>
      </c>
      <c r="C61" s="1926" t="str">
        <f t="shared" si="7"/>
        <v>投资损失（收益以“－”号填列）</v>
      </c>
      <c r="D61" s="1923"/>
      <c r="E61" s="1924">
        <f t="shared" si="5"/>
        <v>0</v>
      </c>
      <c r="F61" s="1925">
        <f t="shared" si="6"/>
        <v>0</v>
      </c>
      <c r="G61" s="1857"/>
      <c r="H61" s="1857"/>
      <c r="I61" s="1751"/>
      <c r="J61" s="1664"/>
    </row>
    <row r="62" spans="1:10" ht="17">
      <c r="A62" s="2884">
        <f t="shared" si="4"/>
        <v>0</v>
      </c>
      <c r="B62" s="2864">
        <v>7515</v>
      </c>
      <c r="C62" s="1926" t="str">
        <f t="shared" si="7"/>
        <v>递延所得税资产减少（增加以“－”号填列）</v>
      </c>
      <c r="D62" s="1923"/>
      <c r="E62" s="1924">
        <f t="shared" si="5"/>
        <v>0</v>
      </c>
      <c r="F62" s="1925">
        <f t="shared" si="6"/>
        <v>0</v>
      </c>
      <c r="G62" s="1857"/>
      <c r="H62" s="1857"/>
      <c r="I62" s="1751"/>
      <c r="J62" s="1664"/>
    </row>
    <row r="63" spans="1:10" ht="17">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7">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7">
      <c r="A65" s="2884">
        <f t="shared" si="4"/>
        <v>0</v>
      </c>
      <c r="B65" s="2864">
        <v>7518</v>
      </c>
      <c r="C65" s="1926" t="str">
        <f t="shared" si="7"/>
        <v>经营性应收项目的减少（增加以“－”号填列）</v>
      </c>
      <c r="D65" s="1923"/>
      <c r="E65" s="1924">
        <f t="shared" si="5"/>
        <v>0</v>
      </c>
      <c r="F65" s="1925">
        <f t="shared" si="6"/>
        <v>0</v>
      </c>
      <c r="G65" s="1857"/>
      <c r="H65" s="1857"/>
      <c r="I65" s="1751"/>
      <c r="J65" s="1664"/>
    </row>
    <row r="66" spans="1:10" ht="17">
      <c r="A66" s="2884">
        <f t="shared" si="4"/>
        <v>0</v>
      </c>
      <c r="B66" s="2864">
        <v>7519</v>
      </c>
      <c r="C66" s="1926" t="str">
        <f t="shared" si="7"/>
        <v>经营性应付项目的增加（减少以“－”号填列）</v>
      </c>
      <c r="D66" s="1923"/>
      <c r="E66" s="1924">
        <f t="shared" si="5"/>
        <v>0</v>
      </c>
      <c r="F66" s="1925">
        <f t="shared" si="6"/>
        <v>19520</v>
      </c>
      <c r="G66" s="1857"/>
      <c r="H66" s="1857"/>
      <c r="I66" s="1751"/>
      <c r="J66" s="1664"/>
    </row>
    <row r="67" spans="1:10" ht="17">
      <c r="A67" s="2884">
        <f t="shared" si="4"/>
        <v>0</v>
      </c>
      <c r="B67" s="2864">
        <v>7523</v>
      </c>
      <c r="C67" s="1926" t="str">
        <f t="shared" si="7"/>
        <v>其他</v>
      </c>
      <c r="D67" s="1923"/>
      <c r="E67" s="1924">
        <f t="shared" si="5"/>
        <v>0</v>
      </c>
      <c r="F67" s="1925">
        <f t="shared" si="6"/>
        <v>0</v>
      </c>
      <c r="G67" s="1857"/>
      <c r="H67" s="1857"/>
      <c r="I67" s="1751"/>
      <c r="J67" s="1664"/>
    </row>
    <row r="68" spans="1:10" ht="17">
      <c r="A68" s="2884" t="str">
        <f t="shared" si="4"/>
        <v>＝</v>
      </c>
      <c r="B68" s="2864">
        <v>7525</v>
      </c>
      <c r="C68" s="1927" t="str">
        <f t="shared" si="7"/>
        <v>经营活动产生的现金流量净额</v>
      </c>
      <c r="D68" s="1923"/>
      <c r="E68" s="1928">
        <f>SUM(E51:E67)</f>
        <v>-2324.91</v>
      </c>
      <c r="F68" s="1929">
        <f>SUM(F51:F67)</f>
        <v>17805.68</v>
      </c>
      <c r="G68" s="1857"/>
      <c r="H68" s="1857"/>
      <c r="I68" s="1751"/>
      <c r="J68" s="1664"/>
    </row>
    <row r="69" spans="1:10" ht="17">
      <c r="A69" s="2884" t="str">
        <f t="shared" si="4"/>
        <v>：</v>
      </c>
      <c r="B69" s="2864">
        <v>7526</v>
      </c>
      <c r="C69" s="1922" t="str">
        <f t="shared" si="7"/>
        <v>2.不涉及现金收支的重大投资和筹资活动：</v>
      </c>
      <c r="D69" s="1923"/>
      <c r="E69" s="1924"/>
      <c r="F69" s="1925"/>
      <c r="G69" s="1857"/>
      <c r="H69" s="1857"/>
      <c r="I69" s="1751"/>
      <c r="J69" s="1664"/>
    </row>
    <row r="70" spans="1:10" ht="17">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7">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7">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7">
      <c r="A73" s="2884" t="str">
        <f t="shared" si="4"/>
        <v>：</v>
      </c>
      <c r="B73" s="2864">
        <v>7533</v>
      </c>
      <c r="C73" s="1922" t="str">
        <f t="shared" si="7"/>
        <v>3.现金及现金等价物净变动情况：</v>
      </c>
      <c r="D73" s="1923"/>
      <c r="E73" s="1924"/>
      <c r="F73" s="1925"/>
      <c r="G73" s="1857"/>
      <c r="H73" s="1857"/>
      <c r="I73" s="1751"/>
      <c r="J73" s="1664"/>
    </row>
    <row r="74" spans="1:10" ht="17">
      <c r="A74" s="2884">
        <f t="shared" si="4"/>
        <v>0</v>
      </c>
      <c r="B74" s="2864">
        <v>7535</v>
      </c>
      <c r="C74" s="1926" t="str">
        <f t="shared" si="7"/>
        <v>现金的期末余额</v>
      </c>
      <c r="D74" s="1923"/>
      <c r="E74" s="1924">
        <f>VLOOKUP($B74,Sheet_Trialbal,6,0)</f>
        <v>15480.77</v>
      </c>
      <c r="F74" s="1925">
        <f>VLOOKUP($B74,Sheet_Trialbal,10,0)</f>
        <v>17805.68</v>
      </c>
      <c r="G74" s="1857"/>
      <c r="H74" s="1857"/>
      <c r="I74" s="1751"/>
      <c r="J74" s="1664"/>
    </row>
    <row r="75" spans="1:10" ht="17">
      <c r="A75" s="2884">
        <f t="shared" si="4"/>
        <v>0</v>
      </c>
      <c r="B75" s="2864">
        <v>7536</v>
      </c>
      <c r="C75" s="1926" t="str">
        <f t="shared" si="7"/>
        <v>减：现金的年初余额</v>
      </c>
      <c r="D75" s="1923"/>
      <c r="E75" s="1924">
        <f>VLOOKUP($B75,Sheet_Trialbal,6,0)</f>
        <v>17805.68</v>
      </c>
      <c r="F75" s="1925">
        <f>VLOOKUP($B75,Sheet_Trialbal,10,0)</f>
        <v>0</v>
      </c>
      <c r="G75" s="1857"/>
      <c r="H75" s="1857"/>
      <c r="I75" s="1751"/>
      <c r="J75" s="1664"/>
    </row>
    <row r="76" spans="1:10" ht="17">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7">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7.5" thickBot="1">
      <c r="A78" s="2884" t="str">
        <f t="shared" si="4"/>
        <v>＝</v>
      </c>
      <c r="B78" s="2864">
        <v>7539</v>
      </c>
      <c r="C78" s="1930" t="str">
        <f t="shared" si="7"/>
        <v>现金及现金等价物净增加额</v>
      </c>
      <c r="D78" s="1931"/>
      <c r="E78" s="1932">
        <f>SUM(E74,-E75,E76,-E77)</f>
        <v>-2324.91</v>
      </c>
      <c r="F78" s="1933">
        <f>SUM(F74,-F75,F76,-F77)</f>
        <v>17805.68</v>
      </c>
      <c r="G78" s="1857"/>
      <c r="H78" s="1857"/>
      <c r="I78" s="1751"/>
      <c r="J78" s="1664"/>
    </row>
    <row r="79" spans="1:10" ht="17.5" thickBot="1">
      <c r="A79" s="2884"/>
      <c r="B79" s="2864"/>
      <c r="C79" s="1934"/>
      <c r="D79" s="1935"/>
      <c r="E79" s="1936"/>
      <c r="F79" s="1936"/>
      <c r="G79" s="1857"/>
      <c r="H79" s="1857"/>
      <c r="I79" s="1751"/>
      <c r="J79" s="1664"/>
    </row>
    <row r="80" spans="1:10" ht="17">
      <c r="A80" s="2884"/>
      <c r="B80" s="2864"/>
      <c r="C80" s="1937" t="s">
        <v>5825</v>
      </c>
      <c r="D80" s="1938"/>
      <c r="E80" s="1939"/>
      <c r="F80" s="1940"/>
      <c r="G80" s="1888"/>
      <c r="H80" s="1888"/>
      <c r="I80" s="1751"/>
      <c r="J80" s="1664"/>
    </row>
    <row r="81" spans="1:10" ht="17">
      <c r="A81" s="2884"/>
      <c r="B81" s="2864"/>
      <c r="C81" s="1941" t="s">
        <v>5826</v>
      </c>
      <c r="D81" s="1942"/>
      <c r="E81" s="1943" t="s">
        <v>2577</v>
      </c>
      <c r="F81" s="1944" t="s">
        <v>2578</v>
      </c>
      <c r="G81" s="1888"/>
      <c r="H81" s="1888"/>
      <c r="I81" s="1751"/>
      <c r="J81" s="1664"/>
    </row>
    <row r="82" spans="1:10" ht="17">
      <c r="A82" s="2884"/>
      <c r="B82" s="2864"/>
      <c r="C82" s="1945" t="s">
        <v>5827</v>
      </c>
      <c r="D82" s="1946"/>
      <c r="E82" s="1947"/>
      <c r="F82" s="1948"/>
      <c r="G82" s="1857"/>
      <c r="H82" s="1857"/>
      <c r="I82" s="1751"/>
      <c r="J82" s="1664"/>
    </row>
    <row r="83" spans="1:10" ht="17">
      <c r="A83" s="2884"/>
      <c r="B83" s="2864"/>
      <c r="C83" s="1949" t="str">
        <f>C43&amp;" | "&amp;E81</f>
        <v>加：期初现金及现金等价物余额 | 本期金额</v>
      </c>
      <c r="D83" s="1946" t="s">
        <v>5828</v>
      </c>
      <c r="E83" s="1950">
        <f>E43</f>
        <v>17805.68</v>
      </c>
      <c r="F83" s="1951"/>
      <c r="G83" s="1857"/>
      <c r="H83" s="1857"/>
      <c r="I83" s="1751"/>
      <c r="J83" s="1664"/>
    </row>
    <row r="84" spans="1:10" ht="17">
      <c r="A84" s="2884"/>
      <c r="B84" s="2864"/>
      <c r="C84" s="1949" t="str">
        <f>C44&amp;" | "&amp;F81</f>
        <v>六、期末现金及现金等价物余额 | 上期金额</v>
      </c>
      <c r="D84" s="1946" t="s">
        <v>5828</v>
      </c>
      <c r="E84" s="1950">
        <f>F44</f>
        <v>17805.68</v>
      </c>
      <c r="F84" s="1951"/>
      <c r="G84" s="1857"/>
      <c r="H84" s="1857"/>
      <c r="I84" s="1751"/>
      <c r="J84" s="1664"/>
    </row>
    <row r="85" spans="1:10" ht="17.5" thickBot="1">
      <c r="A85" s="2884"/>
      <c r="B85" s="2864"/>
      <c r="C85" s="1952" t="s">
        <v>5829</v>
      </c>
      <c r="D85" s="1946"/>
      <c r="E85" s="1953">
        <f>ROUND(E83-E84,2)</f>
        <v>0</v>
      </c>
      <c r="F85" s="1954"/>
      <c r="G85" s="1857"/>
      <c r="H85" s="1857"/>
      <c r="I85" s="1751"/>
      <c r="J85" s="1664"/>
    </row>
    <row r="86" spans="1:10" ht="17.5" thickTop="1">
      <c r="A86" s="2884"/>
      <c r="B86" s="2864"/>
      <c r="C86" s="1955" t="s">
        <v>5830</v>
      </c>
      <c r="D86" s="1946"/>
      <c r="E86" s="1956" t="str">
        <f>IF(E85=0,"√","×")</f>
        <v>√</v>
      </c>
      <c r="F86" s="1957"/>
      <c r="G86" s="1857"/>
      <c r="H86" s="1857"/>
      <c r="I86" s="1751"/>
      <c r="J86" s="1664"/>
    </row>
    <row r="87" spans="1:10" ht="17">
      <c r="A87" s="2884"/>
      <c r="B87" s="2864"/>
      <c r="C87" s="1958" t="s">
        <v>5831</v>
      </c>
      <c r="D87" s="1946"/>
      <c r="E87" s="1947"/>
      <c r="F87" s="1948"/>
      <c r="G87" s="1857"/>
      <c r="H87" s="1857"/>
      <c r="I87" s="1751"/>
      <c r="J87" s="1664"/>
    </row>
    <row r="88" spans="1:10" ht="17">
      <c r="A88" s="2884"/>
      <c r="B88" s="2864"/>
      <c r="C88" s="1959" t="str">
        <f>C51</f>
        <v>净利润</v>
      </c>
      <c r="D88" s="1946" t="s">
        <v>5828</v>
      </c>
      <c r="E88" s="1950">
        <f>E51</f>
        <v>-2324.91</v>
      </c>
      <c r="F88" s="1951">
        <f>F51</f>
        <v>-1714.32</v>
      </c>
      <c r="G88" s="1857"/>
      <c r="H88" s="1857"/>
      <c r="I88" s="1751"/>
      <c r="J88" s="1664"/>
    </row>
    <row r="89" spans="1:10" ht="17">
      <c r="A89" s="2884"/>
      <c r="B89" s="2864">
        <v>6799</v>
      </c>
      <c r="C89" s="1949" t="str">
        <f>VLOOKUP($B89,Sheet_Items,2,0)</f>
        <v>净利润</v>
      </c>
      <c r="D89" s="1946" t="s">
        <v>5832</v>
      </c>
      <c r="E89" s="1950">
        <f>IS!E30</f>
        <v>-2324.91</v>
      </c>
      <c r="F89" s="1951">
        <f>IS!F30</f>
        <v>-1714.32</v>
      </c>
      <c r="G89" s="1857"/>
      <c r="H89" s="1857"/>
      <c r="I89" s="1751"/>
      <c r="J89" s="1664"/>
    </row>
    <row r="90" spans="1:10" ht="17.5" thickBot="1">
      <c r="A90" s="2884"/>
      <c r="B90" s="2864"/>
      <c r="C90" s="1952" t="s">
        <v>5829</v>
      </c>
      <c r="D90" s="1946"/>
      <c r="E90" s="1953">
        <f>ROUND(E88-E89,2)</f>
        <v>0</v>
      </c>
      <c r="F90" s="1954">
        <f>ROUND(F88-F89,2)</f>
        <v>0</v>
      </c>
      <c r="G90" s="1857"/>
      <c r="H90" s="1857"/>
      <c r="I90" s="1751"/>
      <c r="J90" s="1664"/>
    </row>
    <row r="91" spans="1:10" ht="17.5" thickTop="1">
      <c r="A91" s="2884"/>
      <c r="B91" s="2864"/>
      <c r="C91" s="1955" t="s">
        <v>5830</v>
      </c>
      <c r="D91" s="1946"/>
      <c r="E91" s="1956" t="str">
        <f>IF(E90=0,"√","×")</f>
        <v>√</v>
      </c>
      <c r="F91" s="1957" t="str">
        <f>IF(F90=0,"√","×")</f>
        <v>√</v>
      </c>
      <c r="G91" s="1857"/>
      <c r="H91" s="1857"/>
      <c r="I91" s="1751"/>
      <c r="J91" s="1664"/>
    </row>
    <row r="92" spans="1:10" ht="17">
      <c r="A92" s="2884"/>
      <c r="B92" s="2864"/>
      <c r="C92" s="1958" t="s">
        <v>2591</v>
      </c>
      <c r="D92" s="1946"/>
      <c r="E92" s="1947"/>
      <c r="F92" s="1948"/>
      <c r="G92" s="1857"/>
      <c r="H92" s="1857"/>
      <c r="I92" s="1751"/>
      <c r="J92" s="1664"/>
    </row>
    <row r="93" spans="1:10" ht="17">
      <c r="A93" s="2884"/>
      <c r="B93" s="2864"/>
      <c r="C93" s="1959" t="str">
        <f>C68&amp;"（补充资料）"</f>
        <v>经营活动产生的现金流量净额（补充资料）</v>
      </c>
      <c r="D93" s="1946" t="s">
        <v>5828</v>
      </c>
      <c r="E93" s="1950">
        <f>E68</f>
        <v>-2324.91</v>
      </c>
      <c r="F93" s="1951">
        <f>F68</f>
        <v>17805.68</v>
      </c>
      <c r="G93" s="1857"/>
      <c r="H93" s="1857"/>
      <c r="I93" s="1751"/>
      <c r="J93" s="1664"/>
    </row>
    <row r="94" spans="1:10" ht="17">
      <c r="A94" s="2884"/>
      <c r="B94" s="2864">
        <v>7099</v>
      </c>
      <c r="C94" s="1949" t="str">
        <f>C17&amp;"（主表）"</f>
        <v>经营活动产生的现金流量净额（主表）</v>
      </c>
      <c r="D94" s="1946" t="s">
        <v>5828</v>
      </c>
      <c r="E94" s="1950">
        <f>E17</f>
        <v>-2324.91</v>
      </c>
      <c r="F94" s="1951">
        <f>F17</f>
        <v>17805.68</v>
      </c>
      <c r="G94" s="1857"/>
      <c r="H94" s="1857"/>
      <c r="I94" s="1751"/>
      <c r="J94" s="1664"/>
    </row>
    <row r="95" spans="1:10" ht="17.5" thickBot="1">
      <c r="A95" s="2884"/>
      <c r="B95" s="2864"/>
      <c r="C95" s="1952" t="s">
        <v>5829</v>
      </c>
      <c r="D95" s="1946"/>
      <c r="E95" s="1953">
        <f>ROUND(E93-E94,2)</f>
        <v>0</v>
      </c>
      <c r="F95" s="1954">
        <f>ROUND(F93-F94,2)</f>
        <v>0</v>
      </c>
      <c r="G95" s="1857"/>
      <c r="H95" s="1857"/>
      <c r="I95" s="1751"/>
      <c r="J95" s="1664"/>
    </row>
    <row r="96" spans="1:10" ht="17.5" thickTop="1">
      <c r="A96" s="2884"/>
      <c r="B96" s="2864"/>
      <c r="C96" s="1955" t="s">
        <v>5830</v>
      </c>
      <c r="D96" s="1946"/>
      <c r="E96" s="1956" t="str">
        <f>IF(E95=0,"√","×")</f>
        <v>√</v>
      </c>
      <c r="F96" s="1957" t="str">
        <f>IF(F95=0,"√","×")</f>
        <v>√</v>
      </c>
      <c r="G96" s="1857"/>
      <c r="H96" s="1857"/>
      <c r="I96" s="1751"/>
      <c r="J96" s="1664"/>
    </row>
    <row r="97" spans="1:10" ht="17">
      <c r="A97" s="2884"/>
      <c r="B97" s="2864"/>
      <c r="C97" s="1959" t="str">
        <f>C74&amp;" "&amp;C76</f>
        <v>现金的期末余额 加：现金等价物的期末余额</v>
      </c>
      <c r="D97" s="1946" t="s">
        <v>5828</v>
      </c>
      <c r="E97" s="1950">
        <f>SUM(E74,E76)</f>
        <v>15480.77</v>
      </c>
      <c r="F97" s="1951">
        <f>SUM(F74,F76)</f>
        <v>17805.68</v>
      </c>
      <c r="G97" s="1857"/>
      <c r="H97" s="1857"/>
      <c r="I97" s="1751"/>
      <c r="J97" s="1664"/>
    </row>
    <row r="98" spans="1:10" ht="17">
      <c r="A98" s="2884"/>
      <c r="B98" s="2864">
        <v>7399</v>
      </c>
      <c r="C98" s="1949" t="str">
        <f>C44&amp;"（主表）"</f>
        <v>六、期末现金及现金等价物余额（主表）</v>
      </c>
      <c r="D98" s="1946" t="s">
        <v>5828</v>
      </c>
      <c r="E98" s="1950">
        <f>E44</f>
        <v>15480.77</v>
      </c>
      <c r="F98" s="1951">
        <f>F44</f>
        <v>17805.68</v>
      </c>
      <c r="G98" s="1857"/>
      <c r="H98" s="1857"/>
      <c r="I98" s="1751"/>
      <c r="J98" s="1664"/>
    </row>
    <row r="99" spans="1:10" ht="17.5" thickBot="1">
      <c r="A99" s="2884"/>
      <c r="B99" s="2864"/>
      <c r="C99" s="1952" t="s">
        <v>5829</v>
      </c>
      <c r="D99" s="1946"/>
      <c r="E99" s="1953">
        <f>ROUND(E97-E98,2)</f>
        <v>0</v>
      </c>
      <c r="F99" s="1954">
        <f>ROUND(F97-F98,2)</f>
        <v>0</v>
      </c>
      <c r="G99" s="1857"/>
      <c r="H99" s="1857"/>
      <c r="I99" s="1751"/>
      <c r="J99" s="1664"/>
    </row>
    <row r="100" spans="1:10" ht="17.5" thickTop="1">
      <c r="A100" s="2884"/>
      <c r="B100" s="2864"/>
      <c r="C100" s="1955" t="s">
        <v>5830</v>
      </c>
      <c r="D100" s="1946"/>
      <c r="E100" s="1956" t="str">
        <f>IF(E99=0,"√","×")</f>
        <v>√</v>
      </c>
      <c r="F100" s="1957" t="str">
        <f>IF(F99=0,"√","×")</f>
        <v>√</v>
      </c>
      <c r="G100" s="1857"/>
      <c r="H100" s="1857"/>
      <c r="I100" s="1751"/>
      <c r="J100" s="1664"/>
    </row>
    <row r="101" spans="1:10" ht="17">
      <c r="A101" s="2884"/>
      <c r="B101" s="2864"/>
      <c r="C101" s="1959" t="str">
        <f>C75&amp;" "&amp;C77</f>
        <v>减：现金的年初余额 减：现金等价物的年初余额</v>
      </c>
      <c r="D101" s="1946" t="s">
        <v>5828</v>
      </c>
      <c r="E101" s="1950">
        <f>SUM(E75,E77)</f>
        <v>17805.68</v>
      </c>
      <c r="F101" s="1951">
        <f>SUM(F75,F77)</f>
        <v>0</v>
      </c>
      <c r="G101" s="1857"/>
      <c r="H101" s="1857"/>
      <c r="I101" s="1751"/>
      <c r="J101" s="1664"/>
    </row>
    <row r="102" spans="1:10" ht="17">
      <c r="A102" s="2884"/>
      <c r="B102" s="2864">
        <v>7349</v>
      </c>
      <c r="C102" s="1949" t="str">
        <f>C43&amp;"（主表）"</f>
        <v>加：期初现金及现金等价物余额（主表）</v>
      </c>
      <c r="D102" s="1946" t="s">
        <v>5828</v>
      </c>
      <c r="E102" s="1950">
        <f>E43</f>
        <v>17805.68</v>
      </c>
      <c r="F102" s="1951">
        <f>F43</f>
        <v>0</v>
      </c>
      <c r="G102" s="1857"/>
      <c r="H102" s="1857"/>
      <c r="I102" s="1751"/>
      <c r="J102" s="1664"/>
    </row>
    <row r="103" spans="1:10" ht="17.5" thickBot="1">
      <c r="A103" s="2884"/>
      <c r="B103" s="2864"/>
      <c r="C103" s="1952" t="s">
        <v>5829</v>
      </c>
      <c r="D103" s="1946"/>
      <c r="E103" s="1953">
        <f>ROUND(E101-E102,2)</f>
        <v>0</v>
      </c>
      <c r="F103" s="1954">
        <f>ROUND(F101-F102,2)</f>
        <v>0</v>
      </c>
      <c r="G103" s="1857"/>
      <c r="H103" s="1857"/>
      <c r="I103" s="1751"/>
      <c r="J103" s="1664"/>
    </row>
    <row r="104" spans="1:10" ht="17.5" thickTop="1">
      <c r="A104" s="2884"/>
      <c r="B104" s="2864"/>
      <c r="C104" s="1955" t="s">
        <v>5830</v>
      </c>
      <c r="D104" s="1946"/>
      <c r="E104" s="1956" t="str">
        <f>IF(E103=0,"√","×")</f>
        <v>√</v>
      </c>
      <c r="F104" s="1957" t="str">
        <f>IF(F103=0,"√","×")</f>
        <v>√</v>
      </c>
      <c r="G104" s="1857"/>
      <c r="H104" s="1857"/>
      <c r="I104" s="1751"/>
      <c r="J104" s="1664"/>
    </row>
    <row r="105" spans="1:10" ht="17">
      <c r="A105" s="2884"/>
      <c r="B105" s="2864"/>
      <c r="C105" s="1959" t="str">
        <f>C78&amp;"（补充资料）"</f>
        <v>现金及现金等价物净增加额（补充资料）</v>
      </c>
      <c r="D105" s="1946" t="s">
        <v>5828</v>
      </c>
      <c r="E105" s="1950">
        <f>E78</f>
        <v>-2324.91</v>
      </c>
      <c r="F105" s="1951">
        <f>F78</f>
        <v>17805.68</v>
      </c>
      <c r="G105" s="1857"/>
      <c r="H105" s="1857"/>
      <c r="I105" s="1751"/>
      <c r="J105" s="1664"/>
    </row>
    <row r="106" spans="1:10" ht="17">
      <c r="A106" s="2884"/>
      <c r="B106" s="2864">
        <v>7348</v>
      </c>
      <c r="C106" s="1949" t="str">
        <f>C42&amp;"（主表）"</f>
        <v>五、现金及现金等价物净增加额（主表）</v>
      </c>
      <c r="D106" s="1946" t="s">
        <v>5828</v>
      </c>
      <c r="E106" s="1950">
        <f>E42</f>
        <v>-2324.91</v>
      </c>
      <c r="F106" s="1951">
        <f>F42</f>
        <v>17805.68</v>
      </c>
      <c r="G106" s="1857"/>
      <c r="H106" s="1857"/>
      <c r="I106" s="1751"/>
      <c r="J106" s="1664"/>
    </row>
    <row r="107" spans="1:10" ht="17.5" thickBot="1">
      <c r="A107" s="2884"/>
      <c r="B107" s="2864"/>
      <c r="C107" s="1952" t="s">
        <v>5829</v>
      </c>
      <c r="D107" s="1946"/>
      <c r="E107" s="1953">
        <f>ROUND(E105-E106,2)</f>
        <v>0</v>
      </c>
      <c r="F107" s="1954">
        <f>ROUND(F105-F106,2)</f>
        <v>0</v>
      </c>
      <c r="G107" s="1857"/>
      <c r="H107" s="1857"/>
      <c r="I107" s="1751"/>
      <c r="J107" s="1664"/>
    </row>
    <row r="108" spans="1:10" ht="17.5" thickTop="1">
      <c r="A108" s="2884"/>
      <c r="B108" s="2864"/>
      <c r="C108" s="1955" t="s">
        <v>5830</v>
      </c>
      <c r="D108" s="1946"/>
      <c r="E108" s="1956" t="str">
        <f>IF(E107=0,"√","×")</f>
        <v>√</v>
      </c>
      <c r="F108" s="1957" t="str">
        <f>IF(F107=0,"√","×")</f>
        <v>√</v>
      </c>
      <c r="G108" s="1857"/>
      <c r="H108" s="1857"/>
      <c r="I108" s="1751"/>
      <c r="J108" s="1664"/>
    </row>
    <row r="109" spans="1:10" ht="1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7">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29" priority="16" stopIfTrue="1" operator="notEqual">
      <formula>0</formula>
    </cfRule>
  </conditionalFormatting>
  <conditionalFormatting sqref="C80:D80 D81">
    <cfRule type="expression" dxfId="3928" priority="15" stopIfTrue="1">
      <formula>#REF!=TRUE</formula>
    </cfRule>
  </conditionalFormatting>
  <conditionalFormatting sqref="E109:F109 E95:F95 E90:F90 E99:F99 E103:F103 E107:F107 E85:F85">
    <cfRule type="cellIs" dxfId="3927" priority="14" stopIfTrue="1" operator="notEqual">
      <formula>0</formula>
    </cfRule>
  </conditionalFormatting>
  <conditionalFormatting sqref="C80:D80 D81">
    <cfRule type="expression" dxfId="3926" priority="13" stopIfTrue="1">
      <formula>#REF!=TRUE</formula>
    </cfRule>
  </conditionalFormatting>
  <conditionalFormatting sqref="E109:F109 E95:F95 E90:F90 E99:F99 E103:F103 E107:F107 E85:F85">
    <cfRule type="cellIs" dxfId="3925" priority="12" stopIfTrue="1" operator="notEqual">
      <formula>0</formula>
    </cfRule>
  </conditionalFormatting>
  <conditionalFormatting sqref="C80:D80 D81">
    <cfRule type="expression" dxfId="3924" priority="11" stopIfTrue="1">
      <formula>#REF!=TRUE</formula>
    </cfRule>
  </conditionalFormatting>
  <conditionalFormatting sqref="E109:F109 E95:F95 E90:F90 E99:F99 E103:F103 E107:F107 E85:F85">
    <cfRule type="cellIs" dxfId="3923" priority="10" stopIfTrue="1" operator="notEqual">
      <formula>0</formula>
    </cfRule>
  </conditionalFormatting>
  <conditionalFormatting sqref="C80:D80 D81">
    <cfRule type="expression" dxfId="3922" priority="9" stopIfTrue="1">
      <formula>#REF!=TRUE</formula>
    </cfRule>
  </conditionalFormatting>
  <conditionalFormatting sqref="E109:F109 E95:F95 E90:F90 E99:F99 E103:F103 E107:F107 E85:F85">
    <cfRule type="cellIs" dxfId="3921" priority="8" stopIfTrue="1" operator="notEqual">
      <formula>0</formula>
    </cfRule>
  </conditionalFormatting>
  <conditionalFormatting sqref="C80:D80 D81">
    <cfRule type="expression" dxfId="3920" priority="7" stopIfTrue="1">
      <formula>#REF!=TRUE</formula>
    </cfRule>
  </conditionalFormatting>
  <conditionalFormatting sqref="E109:F109 E95:F95 E90:F90 E99:F99 E103:F103 E107:F107 E85:F85">
    <cfRule type="cellIs" dxfId="3919" priority="6" stopIfTrue="1" operator="notEqual">
      <formula>0</formula>
    </cfRule>
  </conditionalFormatting>
  <conditionalFormatting sqref="C80:D80 D81">
    <cfRule type="expression" dxfId="3918" priority="5" stopIfTrue="1">
      <formula>#REF!=TRUE</formula>
    </cfRule>
  </conditionalFormatting>
  <conditionalFormatting sqref="E109:F109 E95:F95 E90:F90 E99:F99 E103:F103 E107:F107 E85:F85">
    <cfRule type="cellIs" dxfId="3917" priority="4" stopIfTrue="1" operator="notEqual">
      <formula>0</formula>
    </cfRule>
  </conditionalFormatting>
  <conditionalFormatting sqref="C80:D80 D81">
    <cfRule type="expression" dxfId="3916" priority="3" stopIfTrue="1">
      <formula>#REF!=TRUE</formula>
    </cfRule>
  </conditionalFormatting>
  <conditionalFormatting sqref="E109:F109 E95:F95 E90:F90 E99:F99 E103:F103 E107:F107 E85:F85">
    <cfRule type="cellIs" dxfId="3915" priority="2" stopIfTrue="1" operator="notEqual">
      <formula>0</formula>
    </cfRule>
  </conditionalFormatting>
  <conditionalFormatting sqref="C80:D80 D81">
    <cfRule type="expression" dxfId="3914"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E40" workbookViewId="0">
      <selection activeCell="Z15" sqref="Z15"/>
    </sheetView>
  </sheetViews>
  <sheetFormatPr defaultRowHeight="13"/>
  <cols>
    <col min="1" max="2" width="9.765625E-2" style="1799" customWidth="1"/>
    <col min="3" max="3" width="45.69921875" style="1804" customWidth="1"/>
    <col min="4" max="14" width="14.69921875" style="1804" customWidth="1"/>
    <col min="15" max="15" width="14.69921875" style="1804" hidden="1" customWidth="1"/>
    <col min="16" max="16" width="17.69921875" style="1804" customWidth="1"/>
    <col min="17" max="27" width="14.69921875" style="1804" customWidth="1"/>
    <col min="28" max="28" width="14.69921875" style="1804" hidden="1" customWidth="1"/>
    <col min="29" max="29" width="17.69921875" style="1804" customWidth="1"/>
    <col min="30" max="256" width="9.09765625" style="1804"/>
    <col min="257" max="258" width="9.765625E-2" style="1804" customWidth="1"/>
    <col min="259" max="259" width="40.69921875" style="1804" customWidth="1"/>
    <col min="260" max="270" width="14.69921875" style="1804" customWidth="1"/>
    <col min="271" max="271" width="0" style="1804" hidden="1" customWidth="1"/>
    <col min="272" max="283" width="14.69921875" style="1804" customWidth="1"/>
    <col min="284" max="284" width="0" style="1804" hidden="1" customWidth="1"/>
    <col min="285" max="285" width="14.69921875" style="1804" customWidth="1"/>
    <col min="286" max="512" width="9.09765625" style="1804"/>
    <col min="513" max="514" width="9.765625E-2" style="1804" customWidth="1"/>
    <col min="515" max="515" width="40.69921875" style="1804" customWidth="1"/>
    <col min="516" max="526" width="14.69921875" style="1804" customWidth="1"/>
    <col min="527" max="527" width="0" style="1804" hidden="1" customWidth="1"/>
    <col min="528" max="539" width="14.69921875" style="1804" customWidth="1"/>
    <col min="540" max="540" width="0" style="1804" hidden="1" customWidth="1"/>
    <col min="541" max="541" width="14.69921875" style="1804" customWidth="1"/>
    <col min="542" max="768" width="9.09765625" style="1804"/>
    <col min="769" max="770" width="9.765625E-2" style="1804" customWidth="1"/>
    <col min="771" max="771" width="40.69921875" style="1804" customWidth="1"/>
    <col min="772" max="782" width="14.69921875" style="1804" customWidth="1"/>
    <col min="783" max="783" width="0" style="1804" hidden="1" customWidth="1"/>
    <col min="784" max="795" width="14.69921875" style="1804" customWidth="1"/>
    <col min="796" max="796" width="0" style="1804" hidden="1" customWidth="1"/>
    <col min="797" max="797" width="14.69921875" style="1804" customWidth="1"/>
    <col min="798" max="1024" width="9.09765625" style="1804"/>
    <col min="1025" max="1026" width="9.765625E-2" style="1804" customWidth="1"/>
    <col min="1027" max="1027" width="40.69921875" style="1804" customWidth="1"/>
    <col min="1028" max="1038" width="14.69921875" style="1804" customWidth="1"/>
    <col min="1039" max="1039" width="0" style="1804" hidden="1" customWidth="1"/>
    <col min="1040" max="1051" width="14.69921875" style="1804" customWidth="1"/>
    <col min="1052" max="1052" width="0" style="1804" hidden="1" customWidth="1"/>
    <col min="1053" max="1053" width="14.69921875" style="1804" customWidth="1"/>
    <col min="1054" max="1280" width="9.09765625" style="1804"/>
    <col min="1281" max="1282" width="9.765625E-2" style="1804" customWidth="1"/>
    <col min="1283" max="1283" width="40.69921875" style="1804" customWidth="1"/>
    <col min="1284" max="1294" width="14.69921875" style="1804" customWidth="1"/>
    <col min="1295" max="1295" width="0" style="1804" hidden="1" customWidth="1"/>
    <col min="1296" max="1307" width="14.69921875" style="1804" customWidth="1"/>
    <col min="1308" max="1308" width="0" style="1804" hidden="1" customWidth="1"/>
    <col min="1309" max="1309" width="14.69921875" style="1804" customWidth="1"/>
    <col min="1310" max="1536" width="9.09765625" style="1804"/>
    <col min="1537" max="1538" width="9.765625E-2" style="1804" customWidth="1"/>
    <col min="1539" max="1539" width="40.69921875" style="1804" customWidth="1"/>
    <col min="1540" max="1550" width="14.69921875" style="1804" customWidth="1"/>
    <col min="1551" max="1551" width="0" style="1804" hidden="1" customWidth="1"/>
    <col min="1552" max="1563" width="14.69921875" style="1804" customWidth="1"/>
    <col min="1564" max="1564" width="0" style="1804" hidden="1" customWidth="1"/>
    <col min="1565" max="1565" width="14.69921875" style="1804" customWidth="1"/>
    <col min="1566" max="1792" width="9.09765625" style="1804"/>
    <col min="1793" max="1794" width="9.765625E-2" style="1804" customWidth="1"/>
    <col min="1795" max="1795" width="40.69921875" style="1804" customWidth="1"/>
    <col min="1796" max="1806" width="14.69921875" style="1804" customWidth="1"/>
    <col min="1807" max="1807" width="0" style="1804" hidden="1" customWidth="1"/>
    <col min="1808" max="1819" width="14.69921875" style="1804" customWidth="1"/>
    <col min="1820" max="1820" width="0" style="1804" hidden="1" customWidth="1"/>
    <col min="1821" max="1821" width="14.69921875" style="1804" customWidth="1"/>
    <col min="1822" max="2048" width="9.09765625" style="1804"/>
    <col min="2049" max="2050" width="9.765625E-2" style="1804" customWidth="1"/>
    <col min="2051" max="2051" width="40.69921875" style="1804" customWidth="1"/>
    <col min="2052" max="2062" width="14.69921875" style="1804" customWidth="1"/>
    <col min="2063" max="2063" width="0" style="1804" hidden="1" customWidth="1"/>
    <col min="2064" max="2075" width="14.69921875" style="1804" customWidth="1"/>
    <col min="2076" max="2076" width="0" style="1804" hidden="1" customWidth="1"/>
    <col min="2077" max="2077" width="14.69921875" style="1804" customWidth="1"/>
    <col min="2078" max="2304" width="9.09765625" style="1804"/>
    <col min="2305" max="2306" width="9.765625E-2" style="1804" customWidth="1"/>
    <col min="2307" max="2307" width="40.69921875" style="1804" customWidth="1"/>
    <col min="2308" max="2318" width="14.69921875" style="1804" customWidth="1"/>
    <col min="2319" max="2319" width="0" style="1804" hidden="1" customWidth="1"/>
    <col min="2320" max="2331" width="14.69921875" style="1804" customWidth="1"/>
    <col min="2332" max="2332" width="0" style="1804" hidden="1" customWidth="1"/>
    <col min="2333" max="2333" width="14.69921875" style="1804" customWidth="1"/>
    <col min="2334" max="2560" width="9.09765625" style="1804"/>
    <col min="2561" max="2562" width="9.765625E-2" style="1804" customWidth="1"/>
    <col min="2563" max="2563" width="40.69921875" style="1804" customWidth="1"/>
    <col min="2564" max="2574" width="14.69921875" style="1804" customWidth="1"/>
    <col min="2575" max="2575" width="0" style="1804" hidden="1" customWidth="1"/>
    <col min="2576" max="2587" width="14.69921875" style="1804" customWidth="1"/>
    <col min="2588" max="2588" width="0" style="1804" hidden="1" customWidth="1"/>
    <col min="2589" max="2589" width="14.69921875" style="1804" customWidth="1"/>
    <col min="2590" max="2816" width="9.09765625" style="1804"/>
    <col min="2817" max="2818" width="9.765625E-2" style="1804" customWidth="1"/>
    <col min="2819" max="2819" width="40.69921875" style="1804" customWidth="1"/>
    <col min="2820" max="2830" width="14.69921875" style="1804" customWidth="1"/>
    <col min="2831" max="2831" width="0" style="1804" hidden="1" customWidth="1"/>
    <col min="2832" max="2843" width="14.69921875" style="1804" customWidth="1"/>
    <col min="2844" max="2844" width="0" style="1804" hidden="1" customWidth="1"/>
    <col min="2845" max="2845" width="14.69921875" style="1804" customWidth="1"/>
    <col min="2846" max="3072" width="9.09765625" style="1804"/>
    <col min="3073" max="3074" width="9.765625E-2" style="1804" customWidth="1"/>
    <col min="3075" max="3075" width="40.69921875" style="1804" customWidth="1"/>
    <col min="3076" max="3086" width="14.69921875" style="1804" customWidth="1"/>
    <col min="3087" max="3087" width="0" style="1804" hidden="1" customWidth="1"/>
    <col min="3088" max="3099" width="14.69921875" style="1804" customWidth="1"/>
    <col min="3100" max="3100" width="0" style="1804" hidden="1" customWidth="1"/>
    <col min="3101" max="3101" width="14.69921875" style="1804" customWidth="1"/>
    <col min="3102" max="3328" width="9.09765625" style="1804"/>
    <col min="3329" max="3330" width="9.765625E-2" style="1804" customWidth="1"/>
    <col min="3331" max="3331" width="40.69921875" style="1804" customWidth="1"/>
    <col min="3332" max="3342" width="14.69921875" style="1804" customWidth="1"/>
    <col min="3343" max="3343" width="0" style="1804" hidden="1" customWidth="1"/>
    <col min="3344" max="3355" width="14.69921875" style="1804" customWidth="1"/>
    <col min="3356" max="3356" width="0" style="1804" hidden="1" customWidth="1"/>
    <col min="3357" max="3357" width="14.69921875" style="1804" customWidth="1"/>
    <col min="3358" max="3584" width="9.09765625" style="1804"/>
    <col min="3585" max="3586" width="9.765625E-2" style="1804" customWidth="1"/>
    <col min="3587" max="3587" width="40.69921875" style="1804" customWidth="1"/>
    <col min="3588" max="3598" width="14.69921875" style="1804" customWidth="1"/>
    <col min="3599" max="3599" width="0" style="1804" hidden="1" customWidth="1"/>
    <col min="3600" max="3611" width="14.69921875" style="1804" customWidth="1"/>
    <col min="3612" max="3612" width="0" style="1804" hidden="1" customWidth="1"/>
    <col min="3613" max="3613" width="14.69921875" style="1804" customWidth="1"/>
    <col min="3614" max="3840" width="9.09765625" style="1804"/>
    <col min="3841" max="3842" width="9.765625E-2" style="1804" customWidth="1"/>
    <col min="3843" max="3843" width="40.69921875" style="1804" customWidth="1"/>
    <col min="3844" max="3854" width="14.69921875" style="1804" customWidth="1"/>
    <col min="3855" max="3855" width="0" style="1804" hidden="1" customWidth="1"/>
    <col min="3856" max="3867" width="14.69921875" style="1804" customWidth="1"/>
    <col min="3868" max="3868" width="0" style="1804" hidden="1" customWidth="1"/>
    <col min="3869" max="3869" width="14.69921875" style="1804" customWidth="1"/>
    <col min="3870" max="4096" width="9.09765625" style="1804"/>
    <col min="4097" max="4098" width="9.765625E-2" style="1804" customWidth="1"/>
    <col min="4099" max="4099" width="40.69921875" style="1804" customWidth="1"/>
    <col min="4100" max="4110" width="14.69921875" style="1804" customWidth="1"/>
    <col min="4111" max="4111" width="0" style="1804" hidden="1" customWidth="1"/>
    <col min="4112" max="4123" width="14.69921875" style="1804" customWidth="1"/>
    <col min="4124" max="4124" width="0" style="1804" hidden="1" customWidth="1"/>
    <col min="4125" max="4125" width="14.69921875" style="1804" customWidth="1"/>
    <col min="4126" max="4352" width="9.09765625" style="1804"/>
    <col min="4353" max="4354" width="9.765625E-2" style="1804" customWidth="1"/>
    <col min="4355" max="4355" width="40.69921875" style="1804" customWidth="1"/>
    <col min="4356" max="4366" width="14.69921875" style="1804" customWidth="1"/>
    <col min="4367" max="4367" width="0" style="1804" hidden="1" customWidth="1"/>
    <col min="4368" max="4379" width="14.69921875" style="1804" customWidth="1"/>
    <col min="4380" max="4380" width="0" style="1804" hidden="1" customWidth="1"/>
    <col min="4381" max="4381" width="14.69921875" style="1804" customWidth="1"/>
    <col min="4382" max="4608" width="9.09765625" style="1804"/>
    <col min="4609" max="4610" width="9.765625E-2" style="1804" customWidth="1"/>
    <col min="4611" max="4611" width="40.69921875" style="1804" customWidth="1"/>
    <col min="4612" max="4622" width="14.69921875" style="1804" customWidth="1"/>
    <col min="4623" max="4623" width="0" style="1804" hidden="1" customWidth="1"/>
    <col min="4624" max="4635" width="14.69921875" style="1804" customWidth="1"/>
    <col min="4636" max="4636" width="0" style="1804" hidden="1" customWidth="1"/>
    <col min="4637" max="4637" width="14.69921875" style="1804" customWidth="1"/>
    <col min="4638" max="4864" width="9.09765625" style="1804"/>
    <col min="4865" max="4866" width="9.765625E-2" style="1804" customWidth="1"/>
    <col min="4867" max="4867" width="40.69921875" style="1804" customWidth="1"/>
    <col min="4868" max="4878" width="14.69921875" style="1804" customWidth="1"/>
    <col min="4879" max="4879" width="0" style="1804" hidden="1" customWidth="1"/>
    <col min="4880" max="4891" width="14.69921875" style="1804" customWidth="1"/>
    <col min="4892" max="4892" width="0" style="1804" hidden="1" customWidth="1"/>
    <col min="4893" max="4893" width="14.69921875" style="1804" customWidth="1"/>
    <col min="4894" max="5120" width="9.09765625" style="1804"/>
    <col min="5121" max="5122" width="9.765625E-2" style="1804" customWidth="1"/>
    <col min="5123" max="5123" width="40.69921875" style="1804" customWidth="1"/>
    <col min="5124" max="5134" width="14.69921875" style="1804" customWidth="1"/>
    <col min="5135" max="5135" width="0" style="1804" hidden="1" customWidth="1"/>
    <col min="5136" max="5147" width="14.69921875" style="1804" customWidth="1"/>
    <col min="5148" max="5148" width="0" style="1804" hidden="1" customWidth="1"/>
    <col min="5149" max="5149" width="14.69921875" style="1804" customWidth="1"/>
    <col min="5150" max="5376" width="9.09765625" style="1804"/>
    <col min="5377" max="5378" width="9.765625E-2" style="1804" customWidth="1"/>
    <col min="5379" max="5379" width="40.69921875" style="1804" customWidth="1"/>
    <col min="5380" max="5390" width="14.69921875" style="1804" customWidth="1"/>
    <col min="5391" max="5391" width="0" style="1804" hidden="1" customWidth="1"/>
    <col min="5392" max="5403" width="14.69921875" style="1804" customWidth="1"/>
    <col min="5404" max="5404" width="0" style="1804" hidden="1" customWidth="1"/>
    <col min="5405" max="5405" width="14.69921875" style="1804" customWidth="1"/>
    <col min="5406" max="5632" width="9.09765625" style="1804"/>
    <col min="5633" max="5634" width="9.765625E-2" style="1804" customWidth="1"/>
    <col min="5635" max="5635" width="40.69921875" style="1804" customWidth="1"/>
    <col min="5636" max="5646" width="14.69921875" style="1804" customWidth="1"/>
    <col min="5647" max="5647" width="0" style="1804" hidden="1" customWidth="1"/>
    <col min="5648" max="5659" width="14.69921875" style="1804" customWidth="1"/>
    <col min="5660" max="5660" width="0" style="1804" hidden="1" customWidth="1"/>
    <col min="5661" max="5661" width="14.69921875" style="1804" customWidth="1"/>
    <col min="5662" max="5888" width="9.09765625" style="1804"/>
    <col min="5889" max="5890" width="9.765625E-2" style="1804" customWidth="1"/>
    <col min="5891" max="5891" width="40.69921875" style="1804" customWidth="1"/>
    <col min="5892" max="5902" width="14.69921875" style="1804" customWidth="1"/>
    <col min="5903" max="5903" width="0" style="1804" hidden="1" customWidth="1"/>
    <col min="5904" max="5915" width="14.69921875" style="1804" customWidth="1"/>
    <col min="5916" max="5916" width="0" style="1804" hidden="1" customWidth="1"/>
    <col min="5917" max="5917" width="14.69921875" style="1804" customWidth="1"/>
    <col min="5918" max="6144" width="9.09765625" style="1804"/>
    <col min="6145" max="6146" width="9.765625E-2" style="1804" customWidth="1"/>
    <col min="6147" max="6147" width="40.69921875" style="1804" customWidth="1"/>
    <col min="6148" max="6158" width="14.69921875" style="1804" customWidth="1"/>
    <col min="6159" max="6159" width="0" style="1804" hidden="1" customWidth="1"/>
    <col min="6160" max="6171" width="14.69921875" style="1804" customWidth="1"/>
    <col min="6172" max="6172" width="0" style="1804" hidden="1" customWidth="1"/>
    <col min="6173" max="6173" width="14.69921875" style="1804" customWidth="1"/>
    <col min="6174" max="6400" width="9.09765625" style="1804"/>
    <col min="6401" max="6402" width="9.765625E-2" style="1804" customWidth="1"/>
    <col min="6403" max="6403" width="40.69921875" style="1804" customWidth="1"/>
    <col min="6404" max="6414" width="14.69921875" style="1804" customWidth="1"/>
    <col min="6415" max="6415" width="0" style="1804" hidden="1" customWidth="1"/>
    <col min="6416" max="6427" width="14.69921875" style="1804" customWidth="1"/>
    <col min="6428" max="6428" width="0" style="1804" hidden="1" customWidth="1"/>
    <col min="6429" max="6429" width="14.69921875" style="1804" customWidth="1"/>
    <col min="6430" max="6656" width="9.09765625" style="1804"/>
    <col min="6657" max="6658" width="9.765625E-2" style="1804" customWidth="1"/>
    <col min="6659" max="6659" width="40.69921875" style="1804" customWidth="1"/>
    <col min="6660" max="6670" width="14.69921875" style="1804" customWidth="1"/>
    <col min="6671" max="6671" width="0" style="1804" hidden="1" customWidth="1"/>
    <col min="6672" max="6683" width="14.69921875" style="1804" customWidth="1"/>
    <col min="6684" max="6684" width="0" style="1804" hidden="1" customWidth="1"/>
    <col min="6685" max="6685" width="14.69921875" style="1804" customWidth="1"/>
    <col min="6686" max="6912" width="9.09765625" style="1804"/>
    <col min="6913" max="6914" width="9.765625E-2" style="1804" customWidth="1"/>
    <col min="6915" max="6915" width="40.69921875" style="1804" customWidth="1"/>
    <col min="6916" max="6926" width="14.69921875" style="1804" customWidth="1"/>
    <col min="6927" max="6927" width="0" style="1804" hidden="1" customWidth="1"/>
    <col min="6928" max="6939" width="14.69921875" style="1804" customWidth="1"/>
    <col min="6940" max="6940" width="0" style="1804" hidden="1" customWidth="1"/>
    <col min="6941" max="6941" width="14.69921875" style="1804" customWidth="1"/>
    <col min="6942" max="7168" width="9.09765625" style="1804"/>
    <col min="7169" max="7170" width="9.765625E-2" style="1804" customWidth="1"/>
    <col min="7171" max="7171" width="40.69921875" style="1804" customWidth="1"/>
    <col min="7172" max="7182" width="14.69921875" style="1804" customWidth="1"/>
    <col min="7183" max="7183" width="0" style="1804" hidden="1" customWidth="1"/>
    <col min="7184" max="7195" width="14.69921875" style="1804" customWidth="1"/>
    <col min="7196" max="7196" width="0" style="1804" hidden="1" customWidth="1"/>
    <col min="7197" max="7197" width="14.69921875" style="1804" customWidth="1"/>
    <col min="7198" max="7424" width="9.09765625" style="1804"/>
    <col min="7425" max="7426" width="9.765625E-2" style="1804" customWidth="1"/>
    <col min="7427" max="7427" width="40.69921875" style="1804" customWidth="1"/>
    <col min="7428" max="7438" width="14.69921875" style="1804" customWidth="1"/>
    <col min="7439" max="7439" width="0" style="1804" hidden="1" customWidth="1"/>
    <col min="7440" max="7451" width="14.69921875" style="1804" customWidth="1"/>
    <col min="7452" max="7452" width="0" style="1804" hidden="1" customWidth="1"/>
    <col min="7453" max="7453" width="14.69921875" style="1804" customWidth="1"/>
    <col min="7454" max="7680" width="9.09765625" style="1804"/>
    <col min="7681" max="7682" width="9.765625E-2" style="1804" customWidth="1"/>
    <col min="7683" max="7683" width="40.69921875" style="1804" customWidth="1"/>
    <col min="7684" max="7694" width="14.69921875" style="1804" customWidth="1"/>
    <col min="7695" max="7695" width="0" style="1804" hidden="1" customWidth="1"/>
    <col min="7696" max="7707" width="14.69921875" style="1804" customWidth="1"/>
    <col min="7708" max="7708" width="0" style="1804" hidden="1" customWidth="1"/>
    <col min="7709" max="7709" width="14.69921875" style="1804" customWidth="1"/>
    <col min="7710" max="7936" width="9.09765625" style="1804"/>
    <col min="7937" max="7938" width="9.765625E-2" style="1804" customWidth="1"/>
    <col min="7939" max="7939" width="40.69921875" style="1804" customWidth="1"/>
    <col min="7940" max="7950" width="14.69921875" style="1804" customWidth="1"/>
    <col min="7951" max="7951" width="0" style="1804" hidden="1" customWidth="1"/>
    <col min="7952" max="7963" width="14.69921875" style="1804" customWidth="1"/>
    <col min="7964" max="7964" width="0" style="1804" hidden="1" customWidth="1"/>
    <col min="7965" max="7965" width="14.69921875" style="1804" customWidth="1"/>
    <col min="7966" max="8192" width="9.09765625" style="1804"/>
    <col min="8193" max="8194" width="9.765625E-2" style="1804" customWidth="1"/>
    <col min="8195" max="8195" width="40.69921875" style="1804" customWidth="1"/>
    <col min="8196" max="8206" width="14.69921875" style="1804" customWidth="1"/>
    <col min="8207" max="8207" width="0" style="1804" hidden="1" customWidth="1"/>
    <col min="8208" max="8219" width="14.69921875" style="1804" customWidth="1"/>
    <col min="8220" max="8220" width="0" style="1804" hidden="1" customWidth="1"/>
    <col min="8221" max="8221" width="14.69921875" style="1804" customWidth="1"/>
    <col min="8222" max="8448" width="9.09765625" style="1804"/>
    <col min="8449" max="8450" width="9.765625E-2" style="1804" customWidth="1"/>
    <col min="8451" max="8451" width="40.69921875" style="1804" customWidth="1"/>
    <col min="8452" max="8462" width="14.69921875" style="1804" customWidth="1"/>
    <col min="8463" max="8463" width="0" style="1804" hidden="1" customWidth="1"/>
    <col min="8464" max="8475" width="14.69921875" style="1804" customWidth="1"/>
    <col min="8476" max="8476" width="0" style="1804" hidden="1" customWidth="1"/>
    <col min="8477" max="8477" width="14.69921875" style="1804" customWidth="1"/>
    <col min="8478" max="8704" width="9.09765625" style="1804"/>
    <col min="8705" max="8706" width="9.765625E-2" style="1804" customWidth="1"/>
    <col min="8707" max="8707" width="40.69921875" style="1804" customWidth="1"/>
    <col min="8708" max="8718" width="14.69921875" style="1804" customWidth="1"/>
    <col min="8719" max="8719" width="0" style="1804" hidden="1" customWidth="1"/>
    <col min="8720" max="8731" width="14.69921875" style="1804" customWidth="1"/>
    <col min="8732" max="8732" width="0" style="1804" hidden="1" customWidth="1"/>
    <col min="8733" max="8733" width="14.69921875" style="1804" customWidth="1"/>
    <col min="8734" max="8960" width="9.09765625" style="1804"/>
    <col min="8961" max="8962" width="9.765625E-2" style="1804" customWidth="1"/>
    <col min="8963" max="8963" width="40.69921875" style="1804" customWidth="1"/>
    <col min="8964" max="8974" width="14.69921875" style="1804" customWidth="1"/>
    <col min="8975" max="8975" width="0" style="1804" hidden="1" customWidth="1"/>
    <col min="8976" max="8987" width="14.69921875" style="1804" customWidth="1"/>
    <col min="8988" max="8988" width="0" style="1804" hidden="1" customWidth="1"/>
    <col min="8989" max="8989" width="14.69921875" style="1804" customWidth="1"/>
    <col min="8990" max="9216" width="9.09765625" style="1804"/>
    <col min="9217" max="9218" width="9.765625E-2" style="1804" customWidth="1"/>
    <col min="9219" max="9219" width="40.69921875" style="1804" customWidth="1"/>
    <col min="9220" max="9230" width="14.69921875" style="1804" customWidth="1"/>
    <col min="9231" max="9231" width="0" style="1804" hidden="1" customWidth="1"/>
    <col min="9232" max="9243" width="14.69921875" style="1804" customWidth="1"/>
    <col min="9244" max="9244" width="0" style="1804" hidden="1" customWidth="1"/>
    <col min="9245" max="9245" width="14.69921875" style="1804" customWidth="1"/>
    <col min="9246" max="9472" width="9.09765625" style="1804"/>
    <col min="9473" max="9474" width="9.765625E-2" style="1804" customWidth="1"/>
    <col min="9475" max="9475" width="40.69921875" style="1804" customWidth="1"/>
    <col min="9476" max="9486" width="14.69921875" style="1804" customWidth="1"/>
    <col min="9487" max="9487" width="0" style="1804" hidden="1" customWidth="1"/>
    <col min="9488" max="9499" width="14.69921875" style="1804" customWidth="1"/>
    <col min="9500" max="9500" width="0" style="1804" hidden="1" customWidth="1"/>
    <col min="9501" max="9501" width="14.69921875" style="1804" customWidth="1"/>
    <col min="9502" max="9728" width="9.09765625" style="1804"/>
    <col min="9729" max="9730" width="9.765625E-2" style="1804" customWidth="1"/>
    <col min="9731" max="9731" width="40.69921875" style="1804" customWidth="1"/>
    <col min="9732" max="9742" width="14.69921875" style="1804" customWidth="1"/>
    <col min="9743" max="9743" width="0" style="1804" hidden="1" customWidth="1"/>
    <col min="9744" max="9755" width="14.69921875" style="1804" customWidth="1"/>
    <col min="9756" max="9756" width="0" style="1804" hidden="1" customWidth="1"/>
    <col min="9757" max="9757" width="14.69921875" style="1804" customWidth="1"/>
    <col min="9758" max="9984" width="9.09765625" style="1804"/>
    <col min="9985" max="9986" width="9.765625E-2" style="1804" customWidth="1"/>
    <col min="9987" max="9987" width="40.69921875" style="1804" customWidth="1"/>
    <col min="9988" max="9998" width="14.69921875" style="1804" customWidth="1"/>
    <col min="9999" max="9999" width="0" style="1804" hidden="1" customWidth="1"/>
    <col min="10000" max="10011" width="14.69921875" style="1804" customWidth="1"/>
    <col min="10012" max="10012" width="0" style="1804" hidden="1" customWidth="1"/>
    <col min="10013" max="10013" width="14.69921875" style="1804" customWidth="1"/>
    <col min="10014" max="10240" width="9.09765625" style="1804"/>
    <col min="10241" max="10242" width="9.765625E-2" style="1804" customWidth="1"/>
    <col min="10243" max="10243" width="40.69921875" style="1804" customWidth="1"/>
    <col min="10244" max="10254" width="14.69921875" style="1804" customWidth="1"/>
    <col min="10255" max="10255" width="0" style="1804" hidden="1" customWidth="1"/>
    <col min="10256" max="10267" width="14.69921875" style="1804" customWidth="1"/>
    <col min="10268" max="10268" width="0" style="1804" hidden="1" customWidth="1"/>
    <col min="10269" max="10269" width="14.69921875" style="1804" customWidth="1"/>
    <col min="10270" max="10496" width="9.09765625" style="1804"/>
    <col min="10497" max="10498" width="9.765625E-2" style="1804" customWidth="1"/>
    <col min="10499" max="10499" width="40.69921875" style="1804" customWidth="1"/>
    <col min="10500" max="10510" width="14.69921875" style="1804" customWidth="1"/>
    <col min="10511" max="10511" width="0" style="1804" hidden="1" customWidth="1"/>
    <col min="10512" max="10523" width="14.69921875" style="1804" customWidth="1"/>
    <col min="10524" max="10524" width="0" style="1804" hidden="1" customWidth="1"/>
    <col min="10525" max="10525" width="14.69921875" style="1804" customWidth="1"/>
    <col min="10526" max="10752" width="9.09765625" style="1804"/>
    <col min="10753" max="10754" width="9.765625E-2" style="1804" customWidth="1"/>
    <col min="10755" max="10755" width="40.69921875" style="1804" customWidth="1"/>
    <col min="10756" max="10766" width="14.69921875" style="1804" customWidth="1"/>
    <col min="10767" max="10767" width="0" style="1804" hidden="1" customWidth="1"/>
    <col min="10768" max="10779" width="14.69921875" style="1804" customWidth="1"/>
    <col min="10780" max="10780" width="0" style="1804" hidden="1" customWidth="1"/>
    <col min="10781" max="10781" width="14.69921875" style="1804" customWidth="1"/>
    <col min="10782" max="11008" width="9.09765625" style="1804"/>
    <col min="11009" max="11010" width="9.765625E-2" style="1804" customWidth="1"/>
    <col min="11011" max="11011" width="40.69921875" style="1804" customWidth="1"/>
    <col min="11012" max="11022" width="14.69921875" style="1804" customWidth="1"/>
    <col min="11023" max="11023" width="0" style="1804" hidden="1" customWidth="1"/>
    <col min="11024" max="11035" width="14.69921875" style="1804" customWidth="1"/>
    <col min="11036" max="11036" width="0" style="1804" hidden="1" customWidth="1"/>
    <col min="11037" max="11037" width="14.69921875" style="1804" customWidth="1"/>
    <col min="11038" max="11264" width="9.09765625" style="1804"/>
    <col min="11265" max="11266" width="9.765625E-2" style="1804" customWidth="1"/>
    <col min="11267" max="11267" width="40.69921875" style="1804" customWidth="1"/>
    <col min="11268" max="11278" width="14.69921875" style="1804" customWidth="1"/>
    <col min="11279" max="11279" width="0" style="1804" hidden="1" customWidth="1"/>
    <col min="11280" max="11291" width="14.69921875" style="1804" customWidth="1"/>
    <col min="11292" max="11292" width="0" style="1804" hidden="1" customWidth="1"/>
    <col min="11293" max="11293" width="14.69921875" style="1804" customWidth="1"/>
    <col min="11294" max="11520" width="9.09765625" style="1804"/>
    <col min="11521" max="11522" width="9.765625E-2" style="1804" customWidth="1"/>
    <col min="11523" max="11523" width="40.69921875" style="1804" customWidth="1"/>
    <col min="11524" max="11534" width="14.69921875" style="1804" customWidth="1"/>
    <col min="11535" max="11535" width="0" style="1804" hidden="1" customWidth="1"/>
    <col min="11536" max="11547" width="14.69921875" style="1804" customWidth="1"/>
    <col min="11548" max="11548" width="0" style="1804" hidden="1" customWidth="1"/>
    <col min="11549" max="11549" width="14.69921875" style="1804" customWidth="1"/>
    <col min="11550" max="11776" width="9.09765625" style="1804"/>
    <col min="11777" max="11778" width="9.765625E-2" style="1804" customWidth="1"/>
    <col min="11779" max="11779" width="40.69921875" style="1804" customWidth="1"/>
    <col min="11780" max="11790" width="14.69921875" style="1804" customWidth="1"/>
    <col min="11791" max="11791" width="0" style="1804" hidden="1" customWidth="1"/>
    <col min="11792" max="11803" width="14.69921875" style="1804" customWidth="1"/>
    <col min="11804" max="11804" width="0" style="1804" hidden="1" customWidth="1"/>
    <col min="11805" max="11805" width="14.69921875" style="1804" customWidth="1"/>
    <col min="11806" max="12032" width="9.09765625" style="1804"/>
    <col min="12033" max="12034" width="9.765625E-2" style="1804" customWidth="1"/>
    <col min="12035" max="12035" width="40.69921875" style="1804" customWidth="1"/>
    <col min="12036" max="12046" width="14.69921875" style="1804" customWidth="1"/>
    <col min="12047" max="12047" width="0" style="1804" hidden="1" customWidth="1"/>
    <col min="12048" max="12059" width="14.69921875" style="1804" customWidth="1"/>
    <col min="12060" max="12060" width="0" style="1804" hidden="1" customWidth="1"/>
    <col min="12061" max="12061" width="14.69921875" style="1804" customWidth="1"/>
    <col min="12062" max="12288" width="9.09765625" style="1804"/>
    <col min="12289" max="12290" width="9.765625E-2" style="1804" customWidth="1"/>
    <col min="12291" max="12291" width="40.69921875" style="1804" customWidth="1"/>
    <col min="12292" max="12302" width="14.69921875" style="1804" customWidth="1"/>
    <col min="12303" max="12303" width="0" style="1804" hidden="1" customWidth="1"/>
    <col min="12304" max="12315" width="14.69921875" style="1804" customWidth="1"/>
    <col min="12316" max="12316" width="0" style="1804" hidden="1" customWidth="1"/>
    <col min="12317" max="12317" width="14.69921875" style="1804" customWidth="1"/>
    <col min="12318" max="12544" width="9.09765625" style="1804"/>
    <col min="12545" max="12546" width="9.765625E-2" style="1804" customWidth="1"/>
    <col min="12547" max="12547" width="40.69921875" style="1804" customWidth="1"/>
    <col min="12548" max="12558" width="14.69921875" style="1804" customWidth="1"/>
    <col min="12559" max="12559" width="0" style="1804" hidden="1" customWidth="1"/>
    <col min="12560" max="12571" width="14.69921875" style="1804" customWidth="1"/>
    <col min="12572" max="12572" width="0" style="1804" hidden="1" customWidth="1"/>
    <col min="12573" max="12573" width="14.69921875" style="1804" customWidth="1"/>
    <col min="12574" max="12800" width="9.09765625" style="1804"/>
    <col min="12801" max="12802" width="9.765625E-2" style="1804" customWidth="1"/>
    <col min="12803" max="12803" width="40.69921875" style="1804" customWidth="1"/>
    <col min="12804" max="12814" width="14.69921875" style="1804" customWidth="1"/>
    <col min="12815" max="12815" width="0" style="1804" hidden="1" customWidth="1"/>
    <col min="12816" max="12827" width="14.69921875" style="1804" customWidth="1"/>
    <col min="12828" max="12828" width="0" style="1804" hidden="1" customWidth="1"/>
    <col min="12829" max="12829" width="14.69921875" style="1804" customWidth="1"/>
    <col min="12830" max="13056" width="9.09765625" style="1804"/>
    <col min="13057" max="13058" width="9.765625E-2" style="1804" customWidth="1"/>
    <col min="13059" max="13059" width="40.69921875" style="1804" customWidth="1"/>
    <col min="13060" max="13070" width="14.69921875" style="1804" customWidth="1"/>
    <col min="13071" max="13071" width="0" style="1804" hidden="1" customWidth="1"/>
    <col min="13072" max="13083" width="14.69921875" style="1804" customWidth="1"/>
    <col min="13084" max="13084" width="0" style="1804" hidden="1" customWidth="1"/>
    <col min="13085" max="13085" width="14.69921875" style="1804" customWidth="1"/>
    <col min="13086" max="13312" width="9.09765625" style="1804"/>
    <col min="13313" max="13314" width="9.765625E-2" style="1804" customWidth="1"/>
    <col min="13315" max="13315" width="40.69921875" style="1804" customWidth="1"/>
    <col min="13316" max="13326" width="14.69921875" style="1804" customWidth="1"/>
    <col min="13327" max="13327" width="0" style="1804" hidden="1" customWidth="1"/>
    <col min="13328" max="13339" width="14.69921875" style="1804" customWidth="1"/>
    <col min="13340" max="13340" width="0" style="1804" hidden="1" customWidth="1"/>
    <col min="13341" max="13341" width="14.69921875" style="1804" customWidth="1"/>
    <col min="13342" max="13568" width="9.09765625" style="1804"/>
    <col min="13569" max="13570" width="9.765625E-2" style="1804" customWidth="1"/>
    <col min="13571" max="13571" width="40.69921875" style="1804" customWidth="1"/>
    <col min="13572" max="13582" width="14.69921875" style="1804" customWidth="1"/>
    <col min="13583" max="13583" width="0" style="1804" hidden="1" customWidth="1"/>
    <col min="13584" max="13595" width="14.69921875" style="1804" customWidth="1"/>
    <col min="13596" max="13596" width="0" style="1804" hidden="1" customWidth="1"/>
    <col min="13597" max="13597" width="14.69921875" style="1804" customWidth="1"/>
    <col min="13598" max="13824" width="9.09765625" style="1804"/>
    <col min="13825" max="13826" width="9.765625E-2" style="1804" customWidth="1"/>
    <col min="13827" max="13827" width="40.69921875" style="1804" customWidth="1"/>
    <col min="13828" max="13838" width="14.69921875" style="1804" customWidth="1"/>
    <col min="13839" max="13839" width="0" style="1804" hidden="1" customWidth="1"/>
    <col min="13840" max="13851" width="14.69921875" style="1804" customWidth="1"/>
    <col min="13852" max="13852" width="0" style="1804" hidden="1" customWidth="1"/>
    <col min="13853" max="13853" width="14.69921875" style="1804" customWidth="1"/>
    <col min="13854" max="14080" width="9.09765625" style="1804"/>
    <col min="14081" max="14082" width="9.765625E-2" style="1804" customWidth="1"/>
    <col min="14083" max="14083" width="40.69921875" style="1804" customWidth="1"/>
    <col min="14084" max="14094" width="14.69921875" style="1804" customWidth="1"/>
    <col min="14095" max="14095" width="0" style="1804" hidden="1" customWidth="1"/>
    <col min="14096" max="14107" width="14.69921875" style="1804" customWidth="1"/>
    <col min="14108" max="14108" width="0" style="1804" hidden="1" customWidth="1"/>
    <col min="14109" max="14109" width="14.69921875" style="1804" customWidth="1"/>
    <col min="14110" max="14336" width="9.09765625" style="1804"/>
    <col min="14337" max="14338" width="9.765625E-2" style="1804" customWidth="1"/>
    <col min="14339" max="14339" width="40.69921875" style="1804" customWidth="1"/>
    <col min="14340" max="14350" width="14.69921875" style="1804" customWidth="1"/>
    <col min="14351" max="14351" width="0" style="1804" hidden="1" customWidth="1"/>
    <col min="14352" max="14363" width="14.69921875" style="1804" customWidth="1"/>
    <col min="14364" max="14364" width="0" style="1804" hidden="1" customWidth="1"/>
    <col min="14365" max="14365" width="14.69921875" style="1804" customWidth="1"/>
    <col min="14366" max="14592" width="9.09765625" style="1804"/>
    <col min="14593" max="14594" width="9.765625E-2" style="1804" customWidth="1"/>
    <col min="14595" max="14595" width="40.69921875" style="1804" customWidth="1"/>
    <col min="14596" max="14606" width="14.69921875" style="1804" customWidth="1"/>
    <col min="14607" max="14607" width="0" style="1804" hidden="1" customWidth="1"/>
    <col min="14608" max="14619" width="14.69921875" style="1804" customWidth="1"/>
    <col min="14620" max="14620" width="0" style="1804" hidden="1" customWidth="1"/>
    <col min="14621" max="14621" width="14.69921875" style="1804" customWidth="1"/>
    <col min="14622" max="14848" width="9.09765625" style="1804"/>
    <col min="14849" max="14850" width="9.765625E-2" style="1804" customWidth="1"/>
    <col min="14851" max="14851" width="40.69921875" style="1804" customWidth="1"/>
    <col min="14852" max="14862" width="14.69921875" style="1804" customWidth="1"/>
    <col min="14863" max="14863" width="0" style="1804" hidden="1" customWidth="1"/>
    <col min="14864" max="14875" width="14.69921875" style="1804" customWidth="1"/>
    <col min="14876" max="14876" width="0" style="1804" hidden="1" customWidth="1"/>
    <col min="14877" max="14877" width="14.69921875" style="1804" customWidth="1"/>
    <col min="14878" max="15104" width="9.09765625" style="1804"/>
    <col min="15105" max="15106" width="9.765625E-2" style="1804" customWidth="1"/>
    <col min="15107" max="15107" width="40.69921875" style="1804" customWidth="1"/>
    <col min="15108" max="15118" width="14.69921875" style="1804" customWidth="1"/>
    <col min="15119" max="15119" width="0" style="1804" hidden="1" customWidth="1"/>
    <col min="15120" max="15131" width="14.69921875" style="1804" customWidth="1"/>
    <col min="15132" max="15132" width="0" style="1804" hidden="1" customWidth="1"/>
    <col min="15133" max="15133" width="14.69921875" style="1804" customWidth="1"/>
    <col min="15134" max="15360" width="9.09765625" style="1804"/>
    <col min="15361" max="15362" width="9.765625E-2" style="1804" customWidth="1"/>
    <col min="15363" max="15363" width="40.69921875" style="1804" customWidth="1"/>
    <col min="15364" max="15374" width="14.69921875" style="1804" customWidth="1"/>
    <col min="15375" max="15375" width="0" style="1804" hidden="1" customWidth="1"/>
    <col min="15376" max="15387" width="14.69921875" style="1804" customWidth="1"/>
    <col min="15388" max="15388" width="0" style="1804" hidden="1" customWidth="1"/>
    <col min="15389" max="15389" width="14.69921875" style="1804" customWidth="1"/>
    <col min="15390" max="15616" width="9.09765625" style="1804"/>
    <col min="15617" max="15618" width="9.765625E-2" style="1804" customWidth="1"/>
    <col min="15619" max="15619" width="40.69921875" style="1804" customWidth="1"/>
    <col min="15620" max="15630" width="14.69921875" style="1804" customWidth="1"/>
    <col min="15631" max="15631" width="0" style="1804" hidden="1" customWidth="1"/>
    <col min="15632" max="15643" width="14.69921875" style="1804" customWidth="1"/>
    <col min="15644" max="15644" width="0" style="1804" hidden="1" customWidth="1"/>
    <col min="15645" max="15645" width="14.69921875" style="1804" customWidth="1"/>
    <col min="15646" max="15872" width="9.09765625" style="1804"/>
    <col min="15873" max="15874" width="9.765625E-2" style="1804" customWidth="1"/>
    <col min="15875" max="15875" width="40.69921875" style="1804" customWidth="1"/>
    <col min="15876" max="15886" width="14.69921875" style="1804" customWidth="1"/>
    <col min="15887" max="15887" width="0" style="1804" hidden="1" customWidth="1"/>
    <col min="15888" max="15899" width="14.69921875" style="1804" customWidth="1"/>
    <col min="15900" max="15900" width="0" style="1804" hidden="1" customWidth="1"/>
    <col min="15901" max="15901" width="14.69921875" style="1804" customWidth="1"/>
    <col min="15902" max="16128" width="9.09765625" style="1804"/>
    <col min="16129" max="16130" width="9.765625E-2" style="1804" customWidth="1"/>
    <col min="16131" max="16131" width="40.69921875" style="1804" customWidth="1"/>
    <col min="16132" max="16142" width="14.69921875" style="1804" customWidth="1"/>
    <col min="16143" max="16143" width="0" style="1804" hidden="1" customWidth="1"/>
    <col min="16144" max="16155" width="14.69921875" style="1804" customWidth="1"/>
    <col min="16156" max="16156" width="0" style="1804" hidden="1" customWidth="1"/>
    <col min="16157" max="16157" width="14.69921875" style="1804" customWidth="1"/>
    <col min="16158" max="16384" width="9.09765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5833</v>
      </c>
      <c r="E2" s="1800" t="s">
        <v>2593</v>
      </c>
      <c r="F2" s="1800" t="s">
        <v>2594</v>
      </c>
      <c r="G2" s="1800" t="s">
        <v>2595</v>
      </c>
      <c r="H2" s="1800" t="s">
        <v>5834</v>
      </c>
      <c r="I2" s="1800" t="s">
        <v>5835</v>
      </c>
      <c r="J2" s="1800" t="s">
        <v>2598</v>
      </c>
      <c r="K2" s="1800" t="s">
        <v>5836</v>
      </c>
      <c r="L2" s="1800" t="s">
        <v>5837</v>
      </c>
      <c r="M2" s="1800" t="s">
        <v>5789</v>
      </c>
      <c r="N2" s="1800" t="s">
        <v>5838</v>
      </c>
      <c r="O2" s="1800" t="s">
        <v>5839</v>
      </c>
      <c r="P2" s="1800" t="s">
        <v>5840</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5">
      <c r="A3" s="1796"/>
      <c r="B3" s="2834" t="s">
        <v>5793</v>
      </c>
      <c r="C3" s="2085" t="s">
        <v>5762</v>
      </c>
      <c r="D3" s="2085"/>
      <c r="E3" s="2085"/>
      <c r="F3" s="2085"/>
      <c r="G3" s="2085"/>
      <c r="H3" s="2085" t="s">
        <v>5849</v>
      </c>
      <c r="I3" s="2085"/>
      <c r="J3" s="2085"/>
      <c r="K3" s="2085"/>
      <c r="L3" s="2085"/>
      <c r="M3" s="2085"/>
      <c r="N3" s="2085"/>
      <c r="O3" s="2085"/>
      <c r="P3" s="2085"/>
      <c r="Q3" s="2086"/>
      <c r="R3" s="2085"/>
      <c r="S3" s="2085"/>
      <c r="T3" s="2116" t="s">
        <v>5850</v>
      </c>
      <c r="V3" s="2085"/>
      <c r="W3" s="2085"/>
      <c r="X3" s="2085"/>
      <c r="Y3" s="2085"/>
      <c r="Z3" s="2085"/>
      <c r="AA3" s="2085"/>
      <c r="AB3" s="2085"/>
      <c r="AC3" s="2085"/>
      <c r="AD3" s="1803"/>
      <c r="AE3" s="1803"/>
      <c r="AF3" s="1803"/>
      <c r="AG3" s="1803"/>
    </row>
    <row r="4" spans="1:33" ht="18.75" customHeight="1">
      <c r="A4" s="1796"/>
      <c r="B4" s="1796"/>
      <c r="C4" s="2087" t="s">
        <v>5762</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编制单位：余江县天骏投资管理有限公司</v>
      </c>
      <c r="D5" s="2091"/>
      <c r="E5" s="2092"/>
      <c r="F5" s="2092"/>
      <c r="G5" s="2092"/>
      <c r="H5" s="2092"/>
      <c r="I5" s="2092"/>
      <c r="J5" s="2092"/>
      <c r="K5" s="2092"/>
      <c r="L5" s="2093" t="s">
        <v>5794</v>
      </c>
      <c r="M5" s="2093"/>
      <c r="N5" s="2092"/>
      <c r="O5" s="2092"/>
      <c r="P5" s="2092"/>
      <c r="Q5" s="2091"/>
      <c r="R5" s="2092"/>
      <c r="S5" s="2092"/>
      <c r="T5" s="2092"/>
      <c r="U5" s="2092"/>
      <c r="V5" s="2092"/>
      <c r="W5" s="2092"/>
      <c r="X5" s="2092"/>
      <c r="Y5" s="2093" t="s">
        <v>5794</v>
      </c>
      <c r="Z5" s="2093"/>
      <c r="AA5" s="2092"/>
      <c r="AB5" s="2092"/>
      <c r="AC5" s="2092"/>
      <c r="AD5" s="849"/>
      <c r="AE5" s="849"/>
      <c r="AF5" s="849"/>
      <c r="AG5" s="849"/>
    </row>
    <row r="6" spans="1:33" ht="18.75" customHeight="1">
      <c r="A6" s="2835"/>
      <c r="B6" s="2835"/>
      <c r="C6" s="2896" t="s">
        <v>5762</v>
      </c>
      <c r="D6" s="3120" t="str">
        <f>Lead!$F$7</f>
        <v>2019年度</v>
      </c>
      <c r="E6" s="3120"/>
      <c r="F6" s="3120"/>
      <c r="G6" s="3120"/>
      <c r="H6" s="3120"/>
      <c r="I6" s="3120"/>
      <c r="J6" s="3120"/>
      <c r="K6" s="3120"/>
      <c r="L6" s="3120"/>
      <c r="M6" s="3120"/>
      <c r="N6" s="3120"/>
      <c r="O6" s="3120"/>
      <c r="P6" s="3121"/>
      <c r="Q6" s="3122" t="str">
        <f>Lead!$F$8</f>
        <v>2018年度</v>
      </c>
      <c r="R6" s="3120"/>
      <c r="S6" s="3120"/>
      <c r="T6" s="3120"/>
      <c r="U6" s="3120"/>
      <c r="V6" s="3120"/>
      <c r="W6" s="3120"/>
      <c r="X6" s="3120"/>
      <c r="Y6" s="3120"/>
      <c r="Z6" s="3120"/>
      <c r="AA6" s="3120"/>
      <c r="AB6" s="3120"/>
      <c r="AC6" s="3121"/>
      <c r="AD6" s="1803"/>
      <c r="AE6" s="1803"/>
      <c r="AF6" s="1803"/>
      <c r="AG6" s="1803"/>
    </row>
    <row r="7" spans="1:33" ht="18" customHeight="1">
      <c r="A7" s="2835" t="s">
        <v>2556</v>
      </c>
      <c r="B7" s="2835" t="s">
        <v>2558</v>
      </c>
      <c r="C7" s="2897" t="s">
        <v>5134</v>
      </c>
      <c r="D7" s="3123" t="s">
        <v>5852</v>
      </c>
      <c r="E7" s="3124" t="s">
        <v>5796</v>
      </c>
      <c r="F7" s="3124"/>
      <c r="G7" s="3124"/>
      <c r="H7" s="3116" t="s">
        <v>592</v>
      </c>
      <c r="I7" s="3116" t="s">
        <v>682</v>
      </c>
      <c r="J7" s="3116" t="s">
        <v>5797</v>
      </c>
      <c r="K7" s="3116" t="s">
        <v>627</v>
      </c>
      <c r="L7" s="3116" t="s">
        <v>602</v>
      </c>
      <c r="M7" s="3118" t="s">
        <v>5874</v>
      </c>
      <c r="N7" s="3116" t="s">
        <v>611</v>
      </c>
      <c r="O7" s="3116" t="s">
        <v>932</v>
      </c>
      <c r="P7" s="3117" t="s">
        <v>2614</v>
      </c>
      <c r="Q7" s="3125" t="s">
        <v>5852</v>
      </c>
      <c r="R7" s="3124" t="s">
        <v>5796</v>
      </c>
      <c r="S7" s="3124"/>
      <c r="T7" s="3124"/>
      <c r="U7" s="3116" t="s">
        <v>592</v>
      </c>
      <c r="V7" s="3116" t="s">
        <v>682</v>
      </c>
      <c r="W7" s="3116" t="s">
        <v>5797</v>
      </c>
      <c r="X7" s="3116" t="s">
        <v>627</v>
      </c>
      <c r="Y7" s="3116" t="s">
        <v>602</v>
      </c>
      <c r="Z7" s="3118" t="s">
        <v>5874</v>
      </c>
      <c r="AA7" s="3116" t="s">
        <v>611</v>
      </c>
      <c r="AB7" s="3116" t="s">
        <v>932</v>
      </c>
      <c r="AC7" s="3117" t="s">
        <v>5851</v>
      </c>
      <c r="AD7" s="1806"/>
      <c r="AE7" s="1803"/>
      <c r="AF7" s="1803"/>
      <c r="AG7" s="1803"/>
    </row>
    <row r="8" spans="1:33" ht="18" customHeight="1">
      <c r="A8" s="2835"/>
      <c r="B8" s="2835"/>
      <c r="C8" s="2111" t="s">
        <v>5762</v>
      </c>
      <c r="D8" s="3123"/>
      <c r="E8" s="2094" t="s">
        <v>2662</v>
      </c>
      <c r="F8" s="2094" t="s">
        <v>2663</v>
      </c>
      <c r="G8" s="2094" t="s">
        <v>932</v>
      </c>
      <c r="H8" s="3116"/>
      <c r="I8" s="3116"/>
      <c r="J8" s="3116"/>
      <c r="K8" s="3116"/>
      <c r="L8" s="3116"/>
      <c r="M8" s="3119"/>
      <c r="N8" s="3116"/>
      <c r="O8" s="3116"/>
      <c r="P8" s="3117"/>
      <c r="Q8" s="3125"/>
      <c r="R8" s="2094" t="s">
        <v>2662</v>
      </c>
      <c r="S8" s="2094" t="s">
        <v>2663</v>
      </c>
      <c r="T8" s="2094" t="s">
        <v>932</v>
      </c>
      <c r="U8" s="3116"/>
      <c r="V8" s="3116"/>
      <c r="W8" s="3116"/>
      <c r="X8" s="3116"/>
      <c r="Y8" s="3116"/>
      <c r="Z8" s="3119"/>
      <c r="AA8" s="3116"/>
      <c r="AB8" s="3116"/>
      <c r="AC8" s="3117"/>
      <c r="AD8" s="1806"/>
      <c r="AE8" s="1803"/>
      <c r="AF8" s="1803"/>
      <c r="AG8" s="1803"/>
    </row>
    <row r="9" spans="1:33" ht="22"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-1714.32</v>
      </c>
      <c r="O9" s="2096">
        <f t="shared" si="3"/>
        <v>0</v>
      </c>
      <c r="P9" s="2114">
        <f t="shared" ref="P9:P35" si="4">SUM(D9:H9,-I9,J9:O9)</f>
        <v>-1714.32</v>
      </c>
      <c r="Q9" s="2112">
        <f>IF(ISERROR(VLOOKUP(VALUE(Q$2&amp;$B9),Sheet_Trialbal,10,0)),0,VLOOKUP(VALUE(Q$2&amp;$B9),Sheet_Trialbal,10,0))</f>
        <v>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0</v>
      </c>
      <c r="Z9" s="2097">
        <f t="shared" si="7"/>
        <v>0</v>
      </c>
      <c r="AA9" s="2097">
        <f t="shared" si="7"/>
        <v>0</v>
      </c>
      <c r="AB9" s="2097">
        <f t="shared" si="7"/>
        <v>0</v>
      </c>
      <c r="AC9" s="2098">
        <f t="shared" ref="AC9:AC35" ca="1" si="8">SUM(Q9:U9,-V9,W9:AB9)</f>
        <v>0</v>
      </c>
      <c r="AD9" s="1803"/>
      <c r="AE9" s="1803"/>
      <c r="AF9" s="1803"/>
      <c r="AG9" s="1803"/>
    </row>
    <row r="10" spans="1:33" ht="22"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2"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2"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2"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-1714.32</v>
      </c>
      <c r="O13" s="2096">
        <f t="shared" si="9"/>
        <v>0</v>
      </c>
      <c r="P13" s="2114">
        <f t="shared" si="4"/>
        <v>-1714.32</v>
      </c>
      <c r="Q13" s="2112">
        <f t="shared" ref="Q13:AB13" si="11">SUM(Q9:Q12)</f>
        <v>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0</v>
      </c>
      <c r="Z13" s="2097">
        <f t="shared" ref="Z13" si="12">SUM(Z9:Z12)</f>
        <v>0</v>
      </c>
      <c r="AA13" s="2097">
        <f t="shared" si="11"/>
        <v>0</v>
      </c>
      <c r="AB13" s="2097">
        <f t="shared" si="11"/>
        <v>0</v>
      </c>
      <c r="AC13" s="2098">
        <f t="shared" ca="1" si="8"/>
        <v>0</v>
      </c>
      <c r="AD13" s="1803"/>
      <c r="AE13" s="1803"/>
      <c r="AF13" s="1803"/>
      <c r="AG13" s="1803"/>
    </row>
    <row r="14" spans="1:33" ht="17">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-2324.91</v>
      </c>
      <c r="O14" s="2096">
        <f t="shared" si="13"/>
        <v>0</v>
      </c>
      <c r="P14" s="2114">
        <f t="shared" si="4"/>
        <v>-2324.91</v>
      </c>
      <c r="Q14" s="2112">
        <f t="shared" ref="Q14:AB14" si="15">SUM(Q15,Q16,Q21,Q25,Q32,Q35)</f>
        <v>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0</v>
      </c>
      <c r="Z14" s="2097">
        <f t="shared" ref="Z14" si="16">SUM(Z15,Z16,Z21,Z25,Z32,Z35)</f>
        <v>0</v>
      </c>
      <c r="AA14" s="2097">
        <f t="shared" si="15"/>
        <v>-1714.32</v>
      </c>
      <c r="AB14" s="2097">
        <f t="shared" si="15"/>
        <v>0</v>
      </c>
      <c r="AC14" s="2098">
        <f t="shared" ca="1" si="8"/>
        <v>-1714.32</v>
      </c>
      <c r="AD14" s="1803"/>
      <c r="AE14" s="1803"/>
      <c r="AF14" s="1803"/>
      <c r="AG14" s="1803"/>
    </row>
    <row r="15" spans="1:33" ht="22"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-2324.91</v>
      </c>
      <c r="O15" s="2096">
        <f>IF(ISERROR(VLOOKUP(VALUE(O$2&amp;$B15),Sheet_Trialbal,6,0)),0,VLOOKUP(VALUE(O$2&amp;$B15),Sheet_Trialbal,6,0))</f>
        <v>0</v>
      </c>
      <c r="P15" s="2114">
        <f t="shared" si="4"/>
        <v>-2324.91</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-1714.32</v>
      </c>
      <c r="AB15" s="2097">
        <f>IF(ISERROR(VLOOKUP(VALUE(AB$2&amp;$B15),Sheet_Trialbal,10,0)),0,VLOOKUP(VALUE(AB$2&amp;$B15),Sheet_Trialbal,10,0))</f>
        <v>0</v>
      </c>
      <c r="AC15" s="2098">
        <f t="shared" ca="1" si="8"/>
        <v>-1714.32</v>
      </c>
      <c r="AD15" s="1803"/>
      <c r="AE15" s="1803"/>
      <c r="AF15" s="1803"/>
      <c r="AG15" s="1803"/>
    </row>
    <row r="16" spans="1:33" ht="22" customHeight="1">
      <c r="A16" s="2836" t="s">
        <v>287</v>
      </c>
      <c r="B16" s="2837" t="s">
        <v>2625</v>
      </c>
      <c r="C16" s="2100" t="str">
        <f>VLOOKUP(VALUE($P$2&amp;$B16),Sheet_Items,6,0)</f>
        <v>（二）所有者投入和减少资本</v>
      </c>
      <c r="D16" s="2096">
        <f t="shared" ref="D16:O16" si="17">SUM(D17:D20)</f>
        <v>0</v>
      </c>
      <c r="E16" s="2096">
        <f t="shared" si="17"/>
        <v>0</v>
      </c>
      <c r="F16" s="2096">
        <f t="shared" si="17"/>
        <v>0</v>
      </c>
      <c r="G16" s="2096">
        <f t="shared" si="17"/>
        <v>0</v>
      </c>
      <c r="H16" s="2096">
        <f t="shared" si="17"/>
        <v>0</v>
      </c>
      <c r="I16" s="2096">
        <f t="shared" si="17"/>
        <v>0</v>
      </c>
      <c r="J16" s="2096">
        <f t="shared" si="17"/>
        <v>0</v>
      </c>
      <c r="K16" s="2096">
        <f t="shared" si="17"/>
        <v>0</v>
      </c>
      <c r="L16" s="2096">
        <f t="shared" si="17"/>
        <v>0</v>
      </c>
      <c r="M16" s="2096">
        <f t="shared" ref="M16" si="18">SUM(M17:M20)</f>
        <v>0</v>
      </c>
      <c r="N16" s="2096">
        <f t="shared" si="17"/>
        <v>0</v>
      </c>
      <c r="O16" s="2096">
        <f t="shared" si="17"/>
        <v>0</v>
      </c>
      <c r="P16" s="2114">
        <f t="shared" si="4"/>
        <v>0</v>
      </c>
      <c r="Q16" s="2112">
        <f t="shared" ref="Q16:AB16" si="19">SUM(Q17:Q20)</f>
        <v>0</v>
      </c>
      <c r="R16" s="2097">
        <f t="shared" ca="1" si="19"/>
        <v>0</v>
      </c>
      <c r="S16" s="2097">
        <f t="shared" ca="1" si="19"/>
        <v>0</v>
      </c>
      <c r="T16" s="2097">
        <f t="shared" ca="1" si="19"/>
        <v>0</v>
      </c>
      <c r="U16" s="2097">
        <f t="shared" si="19"/>
        <v>0</v>
      </c>
      <c r="V16" s="2097">
        <f t="shared" si="19"/>
        <v>0</v>
      </c>
      <c r="W16" s="2097">
        <f t="shared" ca="1" si="19"/>
        <v>0</v>
      </c>
      <c r="X16" s="2097">
        <f t="shared" si="19"/>
        <v>0</v>
      </c>
      <c r="Y16" s="2097">
        <f t="shared" si="19"/>
        <v>0</v>
      </c>
      <c r="Z16" s="2097">
        <f t="shared" ref="Z16" si="20">SUM(Z17:Z20)</f>
        <v>0</v>
      </c>
      <c r="AA16" s="2097">
        <f t="shared" si="19"/>
        <v>0</v>
      </c>
      <c r="AB16" s="2097">
        <f t="shared" si="19"/>
        <v>0</v>
      </c>
      <c r="AC16" s="2098">
        <f t="shared" ca="1" si="8"/>
        <v>0</v>
      </c>
      <c r="AD16" s="1803"/>
      <c r="AE16" s="1803"/>
      <c r="AF16" s="1803"/>
      <c r="AG16" s="1803"/>
    </row>
    <row r="17" spans="1:33" ht="22" customHeight="1">
      <c r="A17" s="2836"/>
      <c r="B17" s="2837" t="s">
        <v>2626</v>
      </c>
      <c r="C17" s="2101" t="str">
        <f>VLOOKUP(VALUE($P$2&amp;$B17),Sheet_Items,6,0)</f>
        <v>所有者投入的普通股</v>
      </c>
      <c r="D17" s="2096">
        <f>IF(ISERROR(VLOOKUP(VALUE(D$2&amp;$B17),Sheet_Trialbal,6,0)),0,VLOOKUP(VALUE(D$2&amp;$B17),Sheet_Trialbal,6,0))</f>
        <v>0</v>
      </c>
      <c r="E17" s="2096">
        <f t="shared" ref="E17:G20" si="21">IF(ISERROR(VLOOKUP(E$2&amp;$B17,Sheet_Trialbal,6,0)),0,VLOOKUP(E$2&amp;$B17,Sheet_Trialbal,6,0))</f>
        <v>0</v>
      </c>
      <c r="F17" s="2096">
        <f t="shared" si="21"/>
        <v>0</v>
      </c>
      <c r="G17" s="2096">
        <f t="shared" si="21"/>
        <v>0</v>
      </c>
      <c r="H17" s="2096">
        <f t="shared" ref="H17:I20" si="22">IF(ISERROR(VLOOKUP(VALUE(H$2&amp;$B17),Sheet_Trialbal,6,0)),0,VLOOKUP(VALUE(H$2&amp;$B17),Sheet_Trialbal,6,0))</f>
        <v>0</v>
      </c>
      <c r="I17" s="2096">
        <f t="shared" si="22"/>
        <v>0</v>
      </c>
      <c r="J17" s="2096">
        <f>IF(ISERROR(VLOOKUP(J$2&amp;$B17,Sheet_Trialbal,6,0)),0,VLOOKUP(J$2&amp;$B17,Sheet_Trialbal,6,0))</f>
        <v>0</v>
      </c>
      <c r="K17" s="2096">
        <f t="shared" ref="K17:O20" si="23">IF(ISERROR(VLOOKUP(VALUE(K$2&amp;$B17),Sheet_Trialbal,6,0)),0,VLOOKUP(VALUE(K$2&amp;$B17),Sheet_Trialbal,6,0))</f>
        <v>0</v>
      </c>
      <c r="L17" s="2096">
        <f t="shared" si="23"/>
        <v>0</v>
      </c>
      <c r="M17" s="2096">
        <f t="shared" si="23"/>
        <v>0</v>
      </c>
      <c r="N17" s="2096">
        <f t="shared" si="23"/>
        <v>0</v>
      </c>
      <c r="O17" s="2096">
        <f t="shared" si="23"/>
        <v>0</v>
      </c>
      <c r="P17" s="2114">
        <f t="shared" si="4"/>
        <v>0</v>
      </c>
      <c r="Q17" s="2112">
        <f>IF(ISERROR(VLOOKUP(VALUE(Q$2&amp;$B17),Sheet_Trialbal,10,0)),0,VLOOKUP(VALUE(Q$2&amp;$B17),Sheet_Trialbal,10,0))</f>
        <v>0</v>
      </c>
      <c r="R17" s="2097">
        <f t="shared" ref="R17:T20" ca="1" si="24">IF(ISERROR(VLOOKUP(R$2&amp;$B17,Sheet_Trialbal,10,0)),0,VLOOKUP(R$2&amp;$B17,Sheet_Trialbal,10,0))</f>
        <v>0</v>
      </c>
      <c r="S17" s="2097">
        <f t="shared" ca="1" si="24"/>
        <v>0</v>
      </c>
      <c r="T17" s="2097">
        <f t="shared" ca="1" si="24"/>
        <v>0</v>
      </c>
      <c r="U17" s="2097">
        <f t="shared" ref="U17:V20" si="25">IF(ISERROR(VLOOKUP(VALUE(U$2&amp;$B17),Sheet_Trialbal,10,0)),0,VLOOKUP(VALUE(U$2&amp;$B17),Sheet_Trialbal,10,0))</f>
        <v>0</v>
      </c>
      <c r="V17" s="2097">
        <f t="shared" si="25"/>
        <v>0</v>
      </c>
      <c r="W17" s="2097">
        <f ca="1">IF(ISERROR(VLOOKUP(W$2&amp;$B17,Sheet_Trialbal,10,0)),0,VLOOKUP(W$2&amp;$B17,Sheet_Trialbal,10,0))</f>
        <v>0</v>
      </c>
      <c r="X17" s="2097">
        <f t="shared" ref="X17:AB20" si="26">IF(ISERROR(VLOOKUP(VALUE(X$2&amp;$B17),Sheet_Trialbal,10,0)),0,VLOOKUP(VALUE(X$2&amp;$B17),Sheet_Trialbal,10,0))</f>
        <v>0</v>
      </c>
      <c r="Y17" s="2097">
        <f t="shared" si="26"/>
        <v>0</v>
      </c>
      <c r="Z17" s="2097">
        <f t="shared" si="26"/>
        <v>0</v>
      </c>
      <c r="AA17" s="2097">
        <f t="shared" si="26"/>
        <v>0</v>
      </c>
      <c r="AB17" s="2097">
        <f t="shared" si="26"/>
        <v>0</v>
      </c>
      <c r="AC17" s="2098">
        <f t="shared" ca="1" si="8"/>
        <v>0</v>
      </c>
      <c r="AD17" s="1803"/>
      <c r="AE17" s="1803"/>
      <c r="AF17" s="1803"/>
      <c r="AG17" s="1803"/>
    </row>
    <row r="18" spans="1:33" ht="22"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1"/>
        <v>0</v>
      </c>
      <c r="F18" s="2096">
        <f t="shared" si="21"/>
        <v>0</v>
      </c>
      <c r="G18" s="2096">
        <f t="shared" si="21"/>
        <v>0</v>
      </c>
      <c r="H18" s="2096">
        <f t="shared" si="22"/>
        <v>0</v>
      </c>
      <c r="I18" s="2096">
        <f t="shared" si="22"/>
        <v>0</v>
      </c>
      <c r="J18" s="2096">
        <f>IF(ISERROR(VLOOKUP(J$2&amp;$B18,Sheet_Trialbal,6,0)),0,VLOOKUP(J$2&amp;$B18,Sheet_Trialbal,6,0))</f>
        <v>0</v>
      </c>
      <c r="K18" s="2096">
        <f t="shared" si="23"/>
        <v>0</v>
      </c>
      <c r="L18" s="2096">
        <f t="shared" si="23"/>
        <v>0</v>
      </c>
      <c r="M18" s="2096">
        <f t="shared" si="23"/>
        <v>0</v>
      </c>
      <c r="N18" s="2096">
        <f t="shared" si="23"/>
        <v>0</v>
      </c>
      <c r="O18" s="2096">
        <f t="shared" si="23"/>
        <v>0</v>
      </c>
      <c r="P18" s="2114">
        <f t="shared" si="4"/>
        <v>0</v>
      </c>
      <c r="Q18" s="2112">
        <f>IF(ISERROR(VLOOKUP(VALUE(Q$2&amp;$B18),Sheet_Trialbal,10,0)),0,VLOOKUP(VALUE(Q$2&amp;$B18),Sheet_Trialbal,10,0))</f>
        <v>0</v>
      </c>
      <c r="R18" s="2097">
        <f t="shared" ca="1" si="24"/>
        <v>0</v>
      </c>
      <c r="S18" s="2097">
        <f t="shared" ca="1" si="24"/>
        <v>0</v>
      </c>
      <c r="T18" s="2097">
        <f t="shared" ca="1" si="24"/>
        <v>0</v>
      </c>
      <c r="U18" s="2097">
        <f t="shared" si="25"/>
        <v>0</v>
      </c>
      <c r="V18" s="2097">
        <f t="shared" si="25"/>
        <v>0</v>
      </c>
      <c r="W18" s="2097">
        <f ca="1">IF(ISERROR(VLOOKUP(W$2&amp;$B18,Sheet_Trialbal,10,0)),0,VLOOKUP(W$2&amp;$B18,Sheet_Trialbal,10,0))</f>
        <v>0</v>
      </c>
      <c r="X18" s="2097">
        <f t="shared" si="26"/>
        <v>0</v>
      </c>
      <c r="Y18" s="2097">
        <f t="shared" si="26"/>
        <v>0</v>
      </c>
      <c r="Z18" s="2097">
        <f t="shared" si="26"/>
        <v>0</v>
      </c>
      <c r="AA18" s="2097">
        <f t="shared" si="26"/>
        <v>0</v>
      </c>
      <c r="AB18" s="2097">
        <f t="shared" si="26"/>
        <v>0</v>
      </c>
      <c r="AC18" s="2098">
        <f t="shared" ca="1" si="8"/>
        <v>0</v>
      </c>
      <c r="AD18" s="1803"/>
      <c r="AE18" s="1803"/>
      <c r="AF18" s="1803"/>
      <c r="AG18" s="1803"/>
    </row>
    <row r="19" spans="1:33" ht="22"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1"/>
        <v>0</v>
      </c>
      <c r="F19" s="2096">
        <f t="shared" si="21"/>
        <v>0</v>
      </c>
      <c r="G19" s="2096">
        <f t="shared" si="21"/>
        <v>0</v>
      </c>
      <c r="H19" s="2096">
        <f t="shared" si="22"/>
        <v>0</v>
      </c>
      <c r="I19" s="2096">
        <f t="shared" si="22"/>
        <v>0</v>
      </c>
      <c r="J19" s="2096">
        <f>IF(ISERROR(VLOOKUP(J$2&amp;$B19,Sheet_Trialbal,6,0)),0,VLOOKUP(J$2&amp;$B19,Sheet_Trialbal,6,0))</f>
        <v>0</v>
      </c>
      <c r="K19" s="2096">
        <f t="shared" si="23"/>
        <v>0</v>
      </c>
      <c r="L19" s="2096">
        <f t="shared" si="23"/>
        <v>0</v>
      </c>
      <c r="M19" s="2096">
        <f t="shared" si="23"/>
        <v>0</v>
      </c>
      <c r="N19" s="2096">
        <f t="shared" si="23"/>
        <v>0</v>
      </c>
      <c r="O19" s="2096">
        <f t="shared" si="23"/>
        <v>0</v>
      </c>
      <c r="P19" s="2114">
        <f t="shared" si="4"/>
        <v>0</v>
      </c>
      <c r="Q19" s="2112">
        <f>IF(ISERROR(VLOOKUP(VALUE(Q$2&amp;$B19),Sheet_Trialbal,10,0)),0,VLOOKUP(VALUE(Q$2&amp;$B19),Sheet_Trialbal,10,0))</f>
        <v>0</v>
      </c>
      <c r="R19" s="2097">
        <f t="shared" ca="1" si="24"/>
        <v>0</v>
      </c>
      <c r="S19" s="2097">
        <f t="shared" ca="1" si="24"/>
        <v>0</v>
      </c>
      <c r="T19" s="2097">
        <f t="shared" ca="1" si="24"/>
        <v>0</v>
      </c>
      <c r="U19" s="2097">
        <f t="shared" si="25"/>
        <v>0</v>
      </c>
      <c r="V19" s="2097">
        <f t="shared" si="25"/>
        <v>0</v>
      </c>
      <c r="W19" s="2097">
        <f ca="1">IF(ISERROR(VLOOKUP(W$2&amp;$B19,Sheet_Trialbal,10,0)),0,VLOOKUP(W$2&amp;$B19,Sheet_Trialbal,10,0))</f>
        <v>0</v>
      </c>
      <c r="X19" s="2097">
        <f t="shared" si="26"/>
        <v>0</v>
      </c>
      <c r="Y19" s="2097">
        <f t="shared" si="26"/>
        <v>0</v>
      </c>
      <c r="Z19" s="2097">
        <f t="shared" si="26"/>
        <v>0</v>
      </c>
      <c r="AA19" s="2097">
        <f t="shared" si="26"/>
        <v>0</v>
      </c>
      <c r="AB19" s="2097">
        <f t="shared" si="26"/>
        <v>0</v>
      </c>
      <c r="AC19" s="2098">
        <f t="shared" ca="1" si="8"/>
        <v>0</v>
      </c>
      <c r="AD19" s="1803"/>
      <c r="AE19" s="1803"/>
      <c r="AF19" s="1803"/>
      <c r="AG19" s="1803"/>
    </row>
    <row r="20" spans="1:33" ht="22" customHeight="1">
      <c r="A20" s="2836"/>
      <c r="B20" s="2837" t="s">
        <v>2629</v>
      </c>
      <c r="C20" s="2104" t="str">
        <f>VLOOKUP(VALUE($P$2&amp;$B20),Sheet_Items,7,0)</f>
        <v>其他</v>
      </c>
      <c r="D20" s="2096">
        <f>IF(ISERROR(VLOOKUP(VALUE(D$2&amp;$B20),Sheet_Trialbal,6,0)),0,VLOOKUP(VALUE(D$2&amp;$B20),Sheet_Trialbal,6,0))</f>
        <v>0</v>
      </c>
      <c r="E20" s="2096">
        <f t="shared" si="21"/>
        <v>0</v>
      </c>
      <c r="F20" s="2096">
        <f t="shared" si="21"/>
        <v>0</v>
      </c>
      <c r="G20" s="2096">
        <f t="shared" si="21"/>
        <v>0</v>
      </c>
      <c r="H20" s="2096">
        <f t="shared" si="22"/>
        <v>0</v>
      </c>
      <c r="I20" s="2096">
        <f t="shared" si="22"/>
        <v>0</v>
      </c>
      <c r="J20" s="2096">
        <f>IF(ISERROR(VLOOKUP(J$2&amp;$B20,Sheet_Trialbal,6,0)),0,VLOOKUP(J$2&amp;$B20,Sheet_Trialbal,6,0))</f>
        <v>0</v>
      </c>
      <c r="K20" s="2096">
        <f t="shared" si="23"/>
        <v>0</v>
      </c>
      <c r="L20" s="2096">
        <f t="shared" si="23"/>
        <v>0</v>
      </c>
      <c r="M20" s="2096">
        <f t="shared" si="23"/>
        <v>0</v>
      </c>
      <c r="N20" s="2096">
        <f t="shared" si="23"/>
        <v>0</v>
      </c>
      <c r="O20" s="2096">
        <f t="shared" si="23"/>
        <v>0</v>
      </c>
      <c r="P20" s="2114">
        <f t="shared" si="4"/>
        <v>0</v>
      </c>
      <c r="Q20" s="2112">
        <f>IF(ISERROR(VLOOKUP(VALUE(Q$2&amp;$B20),Sheet_Trialbal,10,0)),0,VLOOKUP(VALUE(Q$2&amp;$B20),Sheet_Trialbal,10,0))</f>
        <v>0</v>
      </c>
      <c r="R20" s="2097">
        <f t="shared" ca="1" si="24"/>
        <v>0</v>
      </c>
      <c r="S20" s="2097">
        <f t="shared" ca="1" si="24"/>
        <v>0</v>
      </c>
      <c r="T20" s="2097">
        <f t="shared" ca="1" si="24"/>
        <v>0</v>
      </c>
      <c r="U20" s="2097">
        <f t="shared" si="25"/>
        <v>0</v>
      </c>
      <c r="V20" s="2097">
        <f t="shared" si="25"/>
        <v>0</v>
      </c>
      <c r="W20" s="2097">
        <f ca="1">IF(ISERROR(VLOOKUP(W$2&amp;$B20,Sheet_Trialbal,10,0)),0,VLOOKUP(W$2&amp;$B20,Sheet_Trialbal,10,0))</f>
        <v>0</v>
      </c>
      <c r="X20" s="2097">
        <f t="shared" si="26"/>
        <v>0</v>
      </c>
      <c r="Y20" s="2097">
        <f t="shared" si="26"/>
        <v>0</v>
      </c>
      <c r="Z20" s="2097">
        <f t="shared" si="26"/>
        <v>0</v>
      </c>
      <c r="AA20" s="2097">
        <f t="shared" si="26"/>
        <v>0</v>
      </c>
      <c r="AB20" s="2097">
        <f t="shared" si="26"/>
        <v>0</v>
      </c>
      <c r="AC20" s="2098">
        <f t="shared" ca="1" si="8"/>
        <v>0</v>
      </c>
      <c r="AD20" s="1803"/>
      <c r="AE20" s="1803"/>
      <c r="AF20" s="1803"/>
      <c r="AG20" s="1803"/>
    </row>
    <row r="21" spans="1:33" ht="22" customHeight="1">
      <c r="A21" s="2836" t="s">
        <v>287</v>
      </c>
      <c r="B21" s="2837" t="s">
        <v>2630</v>
      </c>
      <c r="C21" s="2099" t="str">
        <f>VLOOKUP(VALUE($P$2&amp;$B21),Sheet_Items,7,0)</f>
        <v>（三）利润分配</v>
      </c>
      <c r="D21" s="2096">
        <f t="shared" ref="D21:O21" si="27">SUM(D22:D24)</f>
        <v>0</v>
      </c>
      <c r="E21" s="2096">
        <f t="shared" si="27"/>
        <v>0</v>
      </c>
      <c r="F21" s="2096">
        <f t="shared" si="27"/>
        <v>0</v>
      </c>
      <c r="G21" s="2096">
        <f t="shared" si="27"/>
        <v>0</v>
      </c>
      <c r="H21" s="2096">
        <f t="shared" si="27"/>
        <v>0</v>
      </c>
      <c r="I21" s="2096">
        <f t="shared" si="27"/>
        <v>0</v>
      </c>
      <c r="J21" s="2096">
        <f t="shared" si="27"/>
        <v>0</v>
      </c>
      <c r="K21" s="2096">
        <f t="shared" si="27"/>
        <v>0</v>
      </c>
      <c r="L21" s="2096">
        <f t="shared" si="27"/>
        <v>0</v>
      </c>
      <c r="M21" s="2096">
        <f t="shared" ref="M21" si="28">SUM(M22:M24)</f>
        <v>0</v>
      </c>
      <c r="N21" s="2096">
        <f t="shared" si="27"/>
        <v>0</v>
      </c>
      <c r="O21" s="2096">
        <f t="shared" si="27"/>
        <v>0</v>
      </c>
      <c r="P21" s="2114">
        <f t="shared" si="4"/>
        <v>0</v>
      </c>
      <c r="Q21" s="2112">
        <f t="shared" ref="Q21:AB21" si="29">SUM(Q22:Q24)</f>
        <v>0</v>
      </c>
      <c r="R21" s="2097">
        <f t="shared" ca="1" si="29"/>
        <v>0</v>
      </c>
      <c r="S21" s="2097">
        <f t="shared" ca="1" si="29"/>
        <v>0</v>
      </c>
      <c r="T21" s="2097">
        <f t="shared" ca="1" si="29"/>
        <v>0</v>
      </c>
      <c r="U21" s="2097">
        <f t="shared" si="29"/>
        <v>0</v>
      </c>
      <c r="V21" s="2097">
        <f t="shared" si="29"/>
        <v>0</v>
      </c>
      <c r="W21" s="2097">
        <f t="shared" ca="1" si="29"/>
        <v>0</v>
      </c>
      <c r="X21" s="2097">
        <f t="shared" si="29"/>
        <v>0</v>
      </c>
      <c r="Y21" s="2097">
        <f t="shared" si="29"/>
        <v>0</v>
      </c>
      <c r="Z21" s="2097">
        <f t="shared" ref="Z21" si="30">SUM(Z22:Z24)</f>
        <v>0</v>
      </c>
      <c r="AA21" s="2097">
        <f t="shared" si="29"/>
        <v>0</v>
      </c>
      <c r="AB21" s="2097">
        <f t="shared" si="29"/>
        <v>0</v>
      </c>
      <c r="AC21" s="2098">
        <f t="shared" ca="1" si="8"/>
        <v>0</v>
      </c>
      <c r="AD21" s="1803"/>
      <c r="AE21" s="1803"/>
      <c r="AF21" s="1803"/>
      <c r="AG21" s="1803"/>
    </row>
    <row r="22" spans="1:33" ht="22" customHeight="1">
      <c r="A22" s="2836"/>
      <c r="B22" s="2837" t="s">
        <v>2631</v>
      </c>
      <c r="C22" s="2101" t="str">
        <f>VLOOKUP(VALUE($P$2&amp;$B22),Sheet_Items,7,0)</f>
        <v>提取盈余公积</v>
      </c>
      <c r="D22" s="2096">
        <f>IF(ISERROR(VLOOKUP(VALUE(D$2&amp;$B22),Sheet_Trialbal,6,0)),0,VLOOKUP(VALUE(D$2&amp;$B22),Sheet_Trialbal,6,0))</f>
        <v>0</v>
      </c>
      <c r="E22" s="2096">
        <f t="shared" ref="E22:G24" si="31">IF(ISERROR(VLOOKUP(E$2&amp;$B22,Sheet_Trialbal,6,0)),0,VLOOKUP(E$2&amp;$B22,Sheet_Trialbal,6,0))</f>
        <v>0</v>
      </c>
      <c r="F22" s="2096">
        <f t="shared" si="31"/>
        <v>0</v>
      </c>
      <c r="G22" s="2096">
        <f t="shared" si="31"/>
        <v>0</v>
      </c>
      <c r="H22" s="2096">
        <f t="shared" ref="H22:I24" si="32">IF(ISERROR(VLOOKUP(VALUE(H$2&amp;$B22),Sheet_Trialbal,6,0)),0,VLOOKUP(VALUE(H$2&amp;$B22),Sheet_Trialbal,6,0))</f>
        <v>0</v>
      </c>
      <c r="I22" s="2096">
        <f t="shared" si="32"/>
        <v>0</v>
      </c>
      <c r="J22" s="2096">
        <f>IF(ISERROR(VLOOKUP(J$2&amp;$B22,Sheet_Trialbal,6,0)),0,VLOOKUP(J$2&amp;$B22,Sheet_Trialbal,6,0))</f>
        <v>0</v>
      </c>
      <c r="K22" s="2096">
        <f t="shared" ref="K22:O24" si="33">IF(ISERROR(VLOOKUP(VALUE(K$2&amp;$B22),Sheet_Trialbal,6,0)),0,VLOOKUP(VALUE(K$2&amp;$B22),Sheet_Trialbal,6,0))</f>
        <v>0</v>
      </c>
      <c r="L22" s="2096">
        <f t="shared" si="33"/>
        <v>0</v>
      </c>
      <c r="M22" s="2096">
        <f t="shared" si="33"/>
        <v>0</v>
      </c>
      <c r="N22" s="2096">
        <f t="shared" si="33"/>
        <v>0</v>
      </c>
      <c r="O22" s="2096">
        <f t="shared" si="33"/>
        <v>0</v>
      </c>
      <c r="P22" s="2114">
        <f t="shared" si="4"/>
        <v>0</v>
      </c>
      <c r="Q22" s="2112">
        <f>IF(ISERROR(VLOOKUP(VALUE(Q$2&amp;$B22),Sheet_Trialbal,10,0)),0,VLOOKUP(VALUE(Q$2&amp;$B22),Sheet_Trialbal,10,0))</f>
        <v>0</v>
      </c>
      <c r="R22" s="2097">
        <f t="shared" ref="R22:T24" ca="1" si="34">IF(ISERROR(VLOOKUP(R$2&amp;$B22,Sheet_Trialbal,10,0)),0,VLOOKUP(R$2&amp;$B22,Sheet_Trialbal,10,0))</f>
        <v>0</v>
      </c>
      <c r="S22" s="2097">
        <f t="shared" ca="1" si="34"/>
        <v>0</v>
      </c>
      <c r="T22" s="2097">
        <f t="shared" ca="1" si="34"/>
        <v>0</v>
      </c>
      <c r="U22" s="2097">
        <f t="shared" ref="U22:V24" si="35">IF(ISERROR(VLOOKUP(VALUE(U$2&amp;$B22),Sheet_Trialbal,10,0)),0,VLOOKUP(VALUE(U$2&amp;$B22),Sheet_Trialbal,10,0))</f>
        <v>0</v>
      </c>
      <c r="V22" s="2097">
        <f t="shared" si="35"/>
        <v>0</v>
      </c>
      <c r="W22" s="2097">
        <f ca="1">IF(ISERROR(VLOOKUP(W$2&amp;$B22,Sheet_Trialbal,10,0)),0,VLOOKUP(W$2&amp;$B22,Sheet_Trialbal,10,0))</f>
        <v>0</v>
      </c>
      <c r="X22" s="2097">
        <f t="shared" ref="X22:AB24" si="36">IF(ISERROR(VLOOKUP(VALUE(X$2&amp;$B22),Sheet_Trialbal,10,0)),0,VLOOKUP(VALUE(X$2&amp;$B22),Sheet_Trialbal,10,0))</f>
        <v>0</v>
      </c>
      <c r="Y22" s="2097">
        <f t="shared" si="36"/>
        <v>0</v>
      </c>
      <c r="Z22" s="2097">
        <f t="shared" si="36"/>
        <v>0</v>
      </c>
      <c r="AA22" s="2097">
        <f t="shared" si="36"/>
        <v>0</v>
      </c>
      <c r="AB22" s="2097">
        <f t="shared" si="36"/>
        <v>0</v>
      </c>
      <c r="AC22" s="2098">
        <f t="shared" ca="1" si="8"/>
        <v>0</v>
      </c>
      <c r="AD22" s="1803"/>
      <c r="AE22" s="1803"/>
      <c r="AF22" s="1803"/>
      <c r="AG22" s="1803"/>
    </row>
    <row r="23" spans="1:33" ht="22" customHeight="1">
      <c r="A23" s="2836"/>
      <c r="B23" s="2837" t="s">
        <v>2633</v>
      </c>
      <c r="C23" s="2102" t="str">
        <f>VLOOKUP(VALUE($P$2&amp;$B23),Sheet_Items,6,0)</f>
        <v>对所有者（或股东）的分配</v>
      </c>
      <c r="D23" s="2096">
        <f>IF(ISERROR(VLOOKUP(VALUE(D$2&amp;$B23),Sheet_Trialbal,6,0)),0,VLOOKUP(VALUE(D$2&amp;$B23),Sheet_Trialbal,6,0))</f>
        <v>0</v>
      </c>
      <c r="E23" s="2096">
        <f t="shared" si="31"/>
        <v>0</v>
      </c>
      <c r="F23" s="2096">
        <f t="shared" si="31"/>
        <v>0</v>
      </c>
      <c r="G23" s="2096">
        <f t="shared" si="31"/>
        <v>0</v>
      </c>
      <c r="H23" s="2096">
        <f t="shared" si="32"/>
        <v>0</v>
      </c>
      <c r="I23" s="2096">
        <f t="shared" si="32"/>
        <v>0</v>
      </c>
      <c r="J23" s="2096">
        <f>IF(ISERROR(VLOOKUP(J$2&amp;$B23,Sheet_Trialbal,6,0)),0,VLOOKUP(J$2&amp;$B23,Sheet_Trialbal,6,0))</f>
        <v>0</v>
      </c>
      <c r="K23" s="2096">
        <f t="shared" si="33"/>
        <v>0</v>
      </c>
      <c r="L23" s="2096">
        <f t="shared" si="33"/>
        <v>0</v>
      </c>
      <c r="M23" s="2096">
        <f t="shared" si="33"/>
        <v>0</v>
      </c>
      <c r="N23" s="2096">
        <f t="shared" si="33"/>
        <v>0</v>
      </c>
      <c r="O23" s="2096">
        <f t="shared" si="33"/>
        <v>0</v>
      </c>
      <c r="P23" s="2114">
        <f t="shared" si="4"/>
        <v>0</v>
      </c>
      <c r="Q23" s="2112">
        <f>IF(ISERROR(VLOOKUP(VALUE(Q$2&amp;$B23),Sheet_Trialbal,10,0)),0,VLOOKUP(VALUE(Q$2&amp;$B23),Sheet_Trialbal,10,0))</f>
        <v>0</v>
      </c>
      <c r="R23" s="2097">
        <f t="shared" ca="1" si="34"/>
        <v>0</v>
      </c>
      <c r="S23" s="2097">
        <f t="shared" ca="1" si="34"/>
        <v>0</v>
      </c>
      <c r="T23" s="2097">
        <f t="shared" ca="1" si="34"/>
        <v>0</v>
      </c>
      <c r="U23" s="2097">
        <f t="shared" si="35"/>
        <v>0</v>
      </c>
      <c r="V23" s="2097">
        <f t="shared" si="35"/>
        <v>0</v>
      </c>
      <c r="W23" s="2097">
        <f ca="1">IF(ISERROR(VLOOKUP(W$2&amp;$B23,Sheet_Trialbal,10,0)),0,VLOOKUP(W$2&amp;$B23,Sheet_Trialbal,10,0))</f>
        <v>0</v>
      </c>
      <c r="X23" s="2097">
        <f t="shared" si="36"/>
        <v>0</v>
      </c>
      <c r="Y23" s="2097">
        <f t="shared" si="36"/>
        <v>0</v>
      </c>
      <c r="Z23" s="2097">
        <f t="shared" si="36"/>
        <v>0</v>
      </c>
      <c r="AA23" s="2097">
        <f t="shared" si="36"/>
        <v>0</v>
      </c>
      <c r="AB23" s="2097">
        <f t="shared" si="36"/>
        <v>0</v>
      </c>
      <c r="AC23" s="2098">
        <f t="shared" ca="1" si="8"/>
        <v>0</v>
      </c>
      <c r="AD23" s="1803"/>
      <c r="AE23" s="1803"/>
      <c r="AF23" s="1803"/>
      <c r="AG23" s="1803"/>
    </row>
    <row r="24" spans="1:33" ht="22" customHeight="1">
      <c r="A24" s="2836"/>
      <c r="B24" s="2837" t="s">
        <v>2634</v>
      </c>
      <c r="C24" s="2103" t="str">
        <f>VLOOKUP(VALUE($P$2&amp;$B24),Sheet_Items,7,0)</f>
        <v>其他</v>
      </c>
      <c r="D24" s="2096">
        <f>IF(ISERROR(VLOOKUP(VALUE(D$2&amp;$B24),Sheet_Trialbal,6,0)),0,VLOOKUP(VALUE(D$2&amp;$B24),Sheet_Trialbal,6,0))</f>
        <v>0</v>
      </c>
      <c r="E24" s="2096">
        <f t="shared" si="31"/>
        <v>0</v>
      </c>
      <c r="F24" s="2096">
        <f t="shared" si="31"/>
        <v>0</v>
      </c>
      <c r="G24" s="2096">
        <f t="shared" si="31"/>
        <v>0</v>
      </c>
      <c r="H24" s="2096">
        <f t="shared" si="32"/>
        <v>0</v>
      </c>
      <c r="I24" s="2096">
        <f t="shared" si="32"/>
        <v>0</v>
      </c>
      <c r="J24" s="2096">
        <f>IF(ISERROR(VLOOKUP(J$2&amp;$B24,Sheet_Trialbal,6,0)),0,VLOOKUP(J$2&amp;$B24,Sheet_Trialbal,6,0))</f>
        <v>0</v>
      </c>
      <c r="K24" s="2096">
        <f t="shared" si="33"/>
        <v>0</v>
      </c>
      <c r="L24" s="2096">
        <f t="shared" si="33"/>
        <v>0</v>
      </c>
      <c r="M24" s="2096">
        <f t="shared" si="33"/>
        <v>0</v>
      </c>
      <c r="N24" s="2096">
        <f t="shared" si="33"/>
        <v>0</v>
      </c>
      <c r="O24" s="2096">
        <f t="shared" si="33"/>
        <v>0</v>
      </c>
      <c r="P24" s="2114">
        <f t="shared" si="4"/>
        <v>0</v>
      </c>
      <c r="Q24" s="2112">
        <f>IF(ISERROR(VLOOKUP(VALUE(Q$2&amp;$B24),Sheet_Trialbal,10,0)),0,VLOOKUP(VALUE(Q$2&amp;$B24),Sheet_Trialbal,10,0))</f>
        <v>0</v>
      </c>
      <c r="R24" s="2097">
        <f t="shared" ca="1" si="34"/>
        <v>0</v>
      </c>
      <c r="S24" s="2097">
        <f t="shared" ca="1" si="34"/>
        <v>0</v>
      </c>
      <c r="T24" s="2097">
        <f t="shared" ca="1" si="34"/>
        <v>0</v>
      </c>
      <c r="U24" s="2097">
        <f t="shared" si="35"/>
        <v>0</v>
      </c>
      <c r="V24" s="2097">
        <f t="shared" si="35"/>
        <v>0</v>
      </c>
      <c r="W24" s="2097">
        <f ca="1">IF(ISERROR(VLOOKUP(W$2&amp;$B24,Sheet_Trialbal,10,0)),0,VLOOKUP(W$2&amp;$B24,Sheet_Trialbal,10,0))</f>
        <v>0</v>
      </c>
      <c r="X24" s="2097">
        <f t="shared" si="36"/>
        <v>0</v>
      </c>
      <c r="Y24" s="2097">
        <f t="shared" si="36"/>
        <v>0</v>
      </c>
      <c r="Z24" s="2097">
        <f t="shared" si="36"/>
        <v>0</v>
      </c>
      <c r="AA24" s="2097">
        <f t="shared" si="36"/>
        <v>0</v>
      </c>
      <c r="AB24" s="2097">
        <f t="shared" si="36"/>
        <v>0</v>
      </c>
      <c r="AC24" s="2098">
        <f t="shared" ca="1" si="8"/>
        <v>0</v>
      </c>
      <c r="AD24" s="1803"/>
      <c r="AE24" s="1803"/>
      <c r="AF24" s="1803"/>
      <c r="AG24" s="1803"/>
    </row>
    <row r="25" spans="1:33" ht="22" customHeight="1">
      <c r="A25" s="2836" t="s">
        <v>287</v>
      </c>
      <c r="B25" s="2837" t="s">
        <v>2635</v>
      </c>
      <c r="C25" s="2099" t="str">
        <f>VLOOKUP(VALUE($P$2&amp;$B25),Sheet_Items,7,0)</f>
        <v>（四）所有者权益内部结转</v>
      </c>
      <c r="D25" s="2096">
        <f t="shared" ref="D25:O25" si="37">SUM(D26:D31)</f>
        <v>0</v>
      </c>
      <c r="E25" s="2096">
        <f t="shared" si="37"/>
        <v>0</v>
      </c>
      <c r="F25" s="2096">
        <f t="shared" si="37"/>
        <v>0</v>
      </c>
      <c r="G25" s="2096">
        <f t="shared" si="37"/>
        <v>0</v>
      </c>
      <c r="H25" s="2096">
        <f t="shared" si="37"/>
        <v>0</v>
      </c>
      <c r="I25" s="2096">
        <f t="shared" si="37"/>
        <v>0</v>
      </c>
      <c r="J25" s="2096">
        <f t="shared" si="37"/>
        <v>0</v>
      </c>
      <c r="K25" s="2096">
        <f t="shared" si="37"/>
        <v>0</v>
      </c>
      <c r="L25" s="2096">
        <f t="shared" si="37"/>
        <v>0</v>
      </c>
      <c r="M25" s="2096">
        <f t="shared" ref="M25" si="38">SUM(M26:M31)</f>
        <v>0</v>
      </c>
      <c r="N25" s="2096">
        <f t="shared" si="37"/>
        <v>0</v>
      </c>
      <c r="O25" s="2096">
        <f t="shared" si="37"/>
        <v>0</v>
      </c>
      <c r="P25" s="2114">
        <f t="shared" si="4"/>
        <v>0</v>
      </c>
      <c r="Q25" s="2112">
        <f t="shared" ref="Q25:AB25" si="39">SUM(Q26:Q31)</f>
        <v>0</v>
      </c>
      <c r="R25" s="2097">
        <f t="shared" ca="1" si="39"/>
        <v>0</v>
      </c>
      <c r="S25" s="2097">
        <f t="shared" ca="1" si="39"/>
        <v>0</v>
      </c>
      <c r="T25" s="2097">
        <f t="shared" ca="1" si="39"/>
        <v>0</v>
      </c>
      <c r="U25" s="2097">
        <f t="shared" si="39"/>
        <v>0</v>
      </c>
      <c r="V25" s="2097">
        <f t="shared" si="39"/>
        <v>0</v>
      </c>
      <c r="W25" s="2097">
        <f t="shared" ca="1" si="39"/>
        <v>0</v>
      </c>
      <c r="X25" s="2097">
        <f t="shared" si="39"/>
        <v>0</v>
      </c>
      <c r="Y25" s="2097">
        <f t="shared" si="39"/>
        <v>0</v>
      </c>
      <c r="Z25" s="2097">
        <f t="shared" ref="Z25" si="40">SUM(Z26:Z31)</f>
        <v>0</v>
      </c>
      <c r="AA25" s="2097">
        <f t="shared" si="39"/>
        <v>0</v>
      </c>
      <c r="AB25" s="2097">
        <f t="shared" si="39"/>
        <v>0</v>
      </c>
      <c r="AC25" s="2098">
        <f t="shared" ca="1" si="8"/>
        <v>0</v>
      </c>
      <c r="AD25" s="1803"/>
      <c r="AE25" s="1803"/>
      <c r="AF25" s="1803"/>
      <c r="AG25" s="1803"/>
    </row>
    <row r="26" spans="1:33" ht="22" customHeight="1">
      <c r="A26" s="2836"/>
      <c r="B26" s="2837" t="s">
        <v>2636</v>
      </c>
      <c r="C26" s="2101" t="str">
        <f>VLOOKUP(VALUE($P$2&amp;$B26),Sheet_Items,6,0)</f>
        <v>资本公积转增资本（或股本）</v>
      </c>
      <c r="D26" s="2096">
        <f t="shared" ref="D26:D31" si="41">IF(ISERROR(VLOOKUP(VALUE(D$2&amp;$B26),Sheet_Trialbal,6,0)),0,VLOOKUP(VALUE(D$2&amp;$B26),Sheet_Trialbal,6,0))</f>
        <v>0</v>
      </c>
      <c r="E26" s="2096">
        <f t="shared" ref="E26:G31" si="42">IF(ISERROR(VLOOKUP(E$2&amp;$B26,Sheet_Trialbal,6,0)),0,VLOOKUP(E$2&amp;$B26,Sheet_Trialbal,6,0))</f>
        <v>0</v>
      </c>
      <c r="F26" s="2096">
        <f t="shared" si="42"/>
        <v>0</v>
      </c>
      <c r="G26" s="2096">
        <f t="shared" si="42"/>
        <v>0</v>
      </c>
      <c r="H26" s="2096">
        <f t="shared" ref="H26:I31" si="43">IF(ISERROR(VLOOKUP(VALUE(H$2&amp;$B26),Sheet_Trialbal,6,0)),0,VLOOKUP(VALUE(H$2&amp;$B26),Sheet_Trialbal,6,0))</f>
        <v>0</v>
      </c>
      <c r="I26" s="2096">
        <f t="shared" si="43"/>
        <v>0</v>
      </c>
      <c r="J26" s="2096">
        <f t="shared" ref="J26:J31" si="44">IF(ISERROR(VLOOKUP(J$2&amp;$B26,Sheet_Trialbal,6,0)),0,VLOOKUP(J$2&amp;$B26,Sheet_Trialbal,6,0))</f>
        <v>0</v>
      </c>
      <c r="K26" s="2096">
        <f t="shared" ref="K26:O31" si="45">IF(ISERROR(VLOOKUP(VALUE(K$2&amp;$B26),Sheet_Trialbal,6,0)),0,VLOOKUP(VALUE(K$2&amp;$B26),Sheet_Trialbal,6,0))</f>
        <v>0</v>
      </c>
      <c r="L26" s="2096">
        <f t="shared" si="45"/>
        <v>0</v>
      </c>
      <c r="M26" s="2096">
        <f t="shared" si="45"/>
        <v>0</v>
      </c>
      <c r="N26" s="2096">
        <f t="shared" si="45"/>
        <v>0</v>
      </c>
      <c r="O26" s="2096">
        <f t="shared" si="45"/>
        <v>0</v>
      </c>
      <c r="P26" s="2114">
        <f t="shared" si="4"/>
        <v>0</v>
      </c>
      <c r="Q26" s="2112">
        <f t="shared" ref="Q26:Q31" si="46">IF(ISERROR(VLOOKUP(VALUE(Q$2&amp;$B26),Sheet_Trialbal,10,0)),0,VLOOKUP(VALUE(Q$2&amp;$B26),Sheet_Trialbal,10,0))</f>
        <v>0</v>
      </c>
      <c r="R26" s="2097">
        <f t="shared" ref="R26:T31" ca="1" si="47">IF(ISERROR(VLOOKUP(R$2&amp;$B26,Sheet_Trialbal,10,0)),0,VLOOKUP(R$2&amp;$B26,Sheet_Trialbal,10,0))</f>
        <v>0</v>
      </c>
      <c r="S26" s="2097">
        <f t="shared" ca="1" si="47"/>
        <v>0</v>
      </c>
      <c r="T26" s="2097">
        <f t="shared" ca="1" si="47"/>
        <v>0</v>
      </c>
      <c r="U26" s="2097">
        <f t="shared" ref="U26:V31" si="48">IF(ISERROR(VLOOKUP(VALUE(U$2&amp;$B26),Sheet_Trialbal,10,0)),0,VLOOKUP(VALUE(U$2&amp;$B26),Sheet_Trialbal,10,0))</f>
        <v>0</v>
      </c>
      <c r="V26" s="2097">
        <f t="shared" si="48"/>
        <v>0</v>
      </c>
      <c r="W26" s="2097">
        <f t="shared" ref="W26:W31" ca="1" si="49">IF(ISERROR(VLOOKUP(W$2&amp;$B26,Sheet_Trialbal,10,0)),0,VLOOKUP(W$2&amp;$B26,Sheet_Trialbal,10,0))</f>
        <v>0</v>
      </c>
      <c r="X26" s="2097">
        <f t="shared" ref="X26:AB31" si="50">IF(ISERROR(VLOOKUP(VALUE(X$2&amp;$B26),Sheet_Trialbal,10,0)),0,VLOOKUP(VALUE(X$2&amp;$B26),Sheet_Trialbal,10,0))</f>
        <v>0</v>
      </c>
      <c r="Y26" s="2097">
        <f t="shared" si="50"/>
        <v>0</v>
      </c>
      <c r="Z26" s="2097">
        <f t="shared" si="50"/>
        <v>0</v>
      </c>
      <c r="AA26" s="2097">
        <f t="shared" si="50"/>
        <v>0</v>
      </c>
      <c r="AB26" s="2097">
        <f t="shared" si="50"/>
        <v>0</v>
      </c>
      <c r="AC26" s="2098">
        <f t="shared" ca="1" si="8"/>
        <v>0</v>
      </c>
      <c r="AD26" s="1803"/>
      <c r="AE26" s="1803"/>
      <c r="AF26" s="1803"/>
      <c r="AG26" s="1803"/>
    </row>
    <row r="27" spans="1:33" ht="22" customHeight="1">
      <c r="A27" s="2836"/>
      <c r="B27" s="2837" t="s">
        <v>2637</v>
      </c>
      <c r="C27" s="2102" t="str">
        <f>VLOOKUP(VALUE($P$2&amp;$B27),Sheet_Items,6,0)</f>
        <v>盈余公积转增资本（或股本）</v>
      </c>
      <c r="D27" s="2096">
        <f t="shared" si="41"/>
        <v>0</v>
      </c>
      <c r="E27" s="2096">
        <f t="shared" si="42"/>
        <v>0</v>
      </c>
      <c r="F27" s="2096">
        <f t="shared" si="42"/>
        <v>0</v>
      </c>
      <c r="G27" s="2096">
        <f t="shared" si="42"/>
        <v>0</v>
      </c>
      <c r="H27" s="2096">
        <f t="shared" si="43"/>
        <v>0</v>
      </c>
      <c r="I27" s="2096">
        <f t="shared" si="43"/>
        <v>0</v>
      </c>
      <c r="J27" s="2096">
        <f t="shared" si="44"/>
        <v>0</v>
      </c>
      <c r="K27" s="2096">
        <f t="shared" si="45"/>
        <v>0</v>
      </c>
      <c r="L27" s="2096">
        <f t="shared" si="45"/>
        <v>0</v>
      </c>
      <c r="M27" s="2096">
        <f t="shared" si="45"/>
        <v>0</v>
      </c>
      <c r="N27" s="2096">
        <f t="shared" si="45"/>
        <v>0</v>
      </c>
      <c r="O27" s="2096">
        <f t="shared" si="45"/>
        <v>0</v>
      </c>
      <c r="P27" s="2114">
        <f t="shared" si="4"/>
        <v>0</v>
      </c>
      <c r="Q27" s="2112">
        <f t="shared" si="46"/>
        <v>0</v>
      </c>
      <c r="R27" s="2097">
        <f t="shared" ca="1" si="47"/>
        <v>0</v>
      </c>
      <c r="S27" s="2097">
        <f t="shared" ca="1" si="47"/>
        <v>0</v>
      </c>
      <c r="T27" s="2097">
        <f t="shared" ca="1" si="47"/>
        <v>0</v>
      </c>
      <c r="U27" s="2097">
        <f t="shared" si="48"/>
        <v>0</v>
      </c>
      <c r="V27" s="2097">
        <f t="shared" si="48"/>
        <v>0</v>
      </c>
      <c r="W27" s="2097">
        <f t="shared" ca="1" si="49"/>
        <v>0</v>
      </c>
      <c r="X27" s="2097">
        <f t="shared" si="50"/>
        <v>0</v>
      </c>
      <c r="Y27" s="2097">
        <f t="shared" si="50"/>
        <v>0</v>
      </c>
      <c r="Z27" s="2097">
        <f t="shared" si="50"/>
        <v>0</v>
      </c>
      <c r="AA27" s="2097">
        <f t="shared" si="50"/>
        <v>0</v>
      </c>
      <c r="AB27" s="2097">
        <f t="shared" si="50"/>
        <v>0</v>
      </c>
      <c r="AC27" s="2098">
        <f t="shared" ca="1" si="8"/>
        <v>0</v>
      </c>
      <c r="AD27" s="1803"/>
      <c r="AE27" s="1803"/>
      <c r="AF27" s="1803"/>
      <c r="AG27" s="1803"/>
    </row>
    <row r="28" spans="1:33" ht="22" customHeight="1">
      <c r="A28" s="2836"/>
      <c r="B28" s="2837" t="s">
        <v>2638</v>
      </c>
      <c r="C28" s="2103" t="str">
        <f>VLOOKUP(VALUE($P$2&amp;$B28),Sheet_Items,7,0)</f>
        <v>盈余公积弥补亏损</v>
      </c>
      <c r="D28" s="2096">
        <f t="shared" si="41"/>
        <v>0</v>
      </c>
      <c r="E28" s="2096">
        <f t="shared" si="42"/>
        <v>0</v>
      </c>
      <c r="F28" s="2096">
        <f t="shared" si="42"/>
        <v>0</v>
      </c>
      <c r="G28" s="2096">
        <f t="shared" si="42"/>
        <v>0</v>
      </c>
      <c r="H28" s="2096">
        <f t="shared" si="43"/>
        <v>0</v>
      </c>
      <c r="I28" s="2096">
        <f t="shared" si="43"/>
        <v>0</v>
      </c>
      <c r="J28" s="2096">
        <f t="shared" si="44"/>
        <v>0</v>
      </c>
      <c r="K28" s="2096">
        <f t="shared" si="45"/>
        <v>0</v>
      </c>
      <c r="L28" s="2096">
        <f t="shared" si="45"/>
        <v>0</v>
      </c>
      <c r="M28" s="2096">
        <f t="shared" si="45"/>
        <v>0</v>
      </c>
      <c r="N28" s="2096">
        <f t="shared" si="45"/>
        <v>0</v>
      </c>
      <c r="O28" s="2096">
        <f t="shared" si="45"/>
        <v>0</v>
      </c>
      <c r="P28" s="2114">
        <f t="shared" si="4"/>
        <v>0</v>
      </c>
      <c r="Q28" s="2112">
        <f t="shared" si="46"/>
        <v>0</v>
      </c>
      <c r="R28" s="2097">
        <f t="shared" ca="1" si="47"/>
        <v>0</v>
      </c>
      <c r="S28" s="2097">
        <f t="shared" ca="1" si="47"/>
        <v>0</v>
      </c>
      <c r="T28" s="2097">
        <f t="shared" ca="1" si="47"/>
        <v>0</v>
      </c>
      <c r="U28" s="2097">
        <f t="shared" si="48"/>
        <v>0</v>
      </c>
      <c r="V28" s="2097">
        <f t="shared" si="48"/>
        <v>0</v>
      </c>
      <c r="W28" s="2097">
        <f t="shared" ca="1" si="49"/>
        <v>0</v>
      </c>
      <c r="X28" s="2097">
        <f t="shared" si="50"/>
        <v>0</v>
      </c>
      <c r="Y28" s="2097">
        <f t="shared" si="50"/>
        <v>0</v>
      </c>
      <c r="Z28" s="2097">
        <f t="shared" si="50"/>
        <v>0</v>
      </c>
      <c r="AA28" s="2097">
        <f t="shared" si="50"/>
        <v>0</v>
      </c>
      <c r="AB28" s="2097">
        <f t="shared" si="50"/>
        <v>0</v>
      </c>
      <c r="AC28" s="2098">
        <f t="shared" ca="1" si="8"/>
        <v>0</v>
      </c>
      <c r="AD28" s="1803"/>
      <c r="AE28" s="1803"/>
      <c r="AF28" s="1803"/>
      <c r="AG28" s="1803"/>
    </row>
    <row r="29" spans="1:33" ht="22" customHeight="1">
      <c r="A29" s="2836"/>
      <c r="B29" s="2837" t="s">
        <v>2639</v>
      </c>
      <c r="C29" s="2104" t="str">
        <f>VLOOKUP(VALUE($P$2&amp;$B29),Sheet_Items,7,0)</f>
        <v>设定受益计划变动额结转留存收益</v>
      </c>
      <c r="D29" s="2096">
        <f t="shared" si="41"/>
        <v>0</v>
      </c>
      <c r="E29" s="2096">
        <f t="shared" si="42"/>
        <v>0</v>
      </c>
      <c r="F29" s="2096">
        <f t="shared" si="42"/>
        <v>0</v>
      </c>
      <c r="G29" s="2096">
        <f t="shared" si="42"/>
        <v>0</v>
      </c>
      <c r="H29" s="2096">
        <f t="shared" si="43"/>
        <v>0</v>
      </c>
      <c r="I29" s="2096">
        <f t="shared" si="43"/>
        <v>0</v>
      </c>
      <c r="J29" s="2096">
        <f t="shared" si="44"/>
        <v>0</v>
      </c>
      <c r="K29" s="2096">
        <f t="shared" si="45"/>
        <v>0</v>
      </c>
      <c r="L29" s="2096">
        <f t="shared" si="45"/>
        <v>0</v>
      </c>
      <c r="M29" s="2096">
        <f t="shared" si="45"/>
        <v>0</v>
      </c>
      <c r="N29" s="2096">
        <f t="shared" si="45"/>
        <v>0</v>
      </c>
      <c r="O29" s="2096">
        <f t="shared" si="45"/>
        <v>0</v>
      </c>
      <c r="P29" s="2114">
        <f t="shared" si="4"/>
        <v>0</v>
      </c>
      <c r="Q29" s="2112">
        <f t="shared" si="46"/>
        <v>0</v>
      </c>
      <c r="R29" s="2097">
        <f t="shared" ca="1" si="47"/>
        <v>0</v>
      </c>
      <c r="S29" s="2097">
        <f t="shared" ca="1" si="47"/>
        <v>0</v>
      </c>
      <c r="T29" s="2097">
        <f t="shared" ca="1" si="47"/>
        <v>0</v>
      </c>
      <c r="U29" s="2097">
        <f t="shared" si="48"/>
        <v>0</v>
      </c>
      <c r="V29" s="2097">
        <f t="shared" si="48"/>
        <v>0</v>
      </c>
      <c r="W29" s="2097">
        <f t="shared" ca="1" si="49"/>
        <v>0</v>
      </c>
      <c r="X29" s="2097">
        <f t="shared" si="50"/>
        <v>0</v>
      </c>
      <c r="Y29" s="2097">
        <f t="shared" si="50"/>
        <v>0</v>
      </c>
      <c r="Z29" s="2097">
        <f t="shared" si="50"/>
        <v>0</v>
      </c>
      <c r="AA29" s="2097">
        <f t="shared" si="50"/>
        <v>0</v>
      </c>
      <c r="AB29" s="2097">
        <f t="shared" si="50"/>
        <v>0</v>
      </c>
      <c r="AC29" s="2098">
        <f t="shared" ca="1" si="8"/>
        <v>0</v>
      </c>
      <c r="AD29" s="1803"/>
      <c r="AE29" s="1803"/>
      <c r="AF29" s="1803"/>
      <c r="AG29" s="1803"/>
    </row>
    <row r="30" spans="1:33" ht="22" customHeight="1">
      <c r="A30" s="2836"/>
      <c r="B30" s="2837" t="s">
        <v>5847</v>
      </c>
      <c r="C30" s="2105" t="str">
        <f>VLOOKUP(VALUE($P$2&amp;$B30),Sheet_Items,7,0)</f>
        <v>其他综合收益结转留存收益</v>
      </c>
      <c r="D30" s="2096">
        <f t="shared" si="41"/>
        <v>0</v>
      </c>
      <c r="E30" s="2096">
        <f t="shared" si="42"/>
        <v>0</v>
      </c>
      <c r="F30" s="2096">
        <f t="shared" si="42"/>
        <v>0</v>
      </c>
      <c r="G30" s="2096">
        <f t="shared" si="42"/>
        <v>0</v>
      </c>
      <c r="H30" s="2096">
        <f t="shared" si="43"/>
        <v>0</v>
      </c>
      <c r="I30" s="2096">
        <f t="shared" si="43"/>
        <v>0</v>
      </c>
      <c r="J30" s="2096">
        <f t="shared" si="44"/>
        <v>0</v>
      </c>
      <c r="K30" s="2096">
        <f t="shared" si="45"/>
        <v>0</v>
      </c>
      <c r="L30" s="2096">
        <f t="shared" si="45"/>
        <v>0</v>
      </c>
      <c r="M30" s="2096">
        <f t="shared" si="45"/>
        <v>0</v>
      </c>
      <c r="N30" s="2096">
        <f t="shared" si="45"/>
        <v>0</v>
      </c>
      <c r="O30" s="2096">
        <f t="shared" si="45"/>
        <v>0</v>
      </c>
      <c r="P30" s="2114">
        <f t="shared" si="4"/>
        <v>0</v>
      </c>
      <c r="Q30" s="2112">
        <f t="shared" si="46"/>
        <v>0</v>
      </c>
      <c r="R30" s="2097">
        <f t="shared" ca="1" si="47"/>
        <v>0</v>
      </c>
      <c r="S30" s="2097">
        <f t="shared" ca="1" si="47"/>
        <v>0</v>
      </c>
      <c r="T30" s="2097">
        <f t="shared" ca="1" si="47"/>
        <v>0</v>
      </c>
      <c r="U30" s="2097">
        <f t="shared" si="48"/>
        <v>0</v>
      </c>
      <c r="V30" s="2097">
        <f t="shared" si="48"/>
        <v>0</v>
      </c>
      <c r="W30" s="2097">
        <f t="shared" ca="1" si="49"/>
        <v>0</v>
      </c>
      <c r="X30" s="2097">
        <f t="shared" si="50"/>
        <v>0</v>
      </c>
      <c r="Y30" s="2097">
        <f t="shared" si="50"/>
        <v>0</v>
      </c>
      <c r="Z30" s="2097">
        <f t="shared" si="50"/>
        <v>0</v>
      </c>
      <c r="AA30" s="2097">
        <f t="shared" si="50"/>
        <v>0</v>
      </c>
      <c r="AB30" s="2097">
        <f t="shared" si="50"/>
        <v>0</v>
      </c>
      <c r="AC30" s="2098">
        <f t="shared" ca="1" si="8"/>
        <v>0</v>
      </c>
      <c r="AD30" s="1803"/>
      <c r="AE30" s="1803"/>
      <c r="AF30" s="1803"/>
      <c r="AG30" s="1803"/>
    </row>
    <row r="31" spans="1:33" ht="22" customHeight="1">
      <c r="A31" s="2836"/>
      <c r="B31" s="2837" t="s">
        <v>2641</v>
      </c>
      <c r="C31" s="2106" t="str">
        <f>VLOOKUP(VALUE($P$2&amp;$B31),Sheet_Items,7,0)</f>
        <v>其他</v>
      </c>
      <c r="D31" s="2096">
        <f t="shared" si="41"/>
        <v>0</v>
      </c>
      <c r="E31" s="2096">
        <f t="shared" si="42"/>
        <v>0</v>
      </c>
      <c r="F31" s="2096">
        <f t="shared" si="42"/>
        <v>0</v>
      </c>
      <c r="G31" s="2096">
        <f t="shared" si="42"/>
        <v>0</v>
      </c>
      <c r="H31" s="2096">
        <f t="shared" si="43"/>
        <v>0</v>
      </c>
      <c r="I31" s="2096">
        <f t="shared" si="43"/>
        <v>0</v>
      </c>
      <c r="J31" s="2096">
        <f t="shared" si="44"/>
        <v>0</v>
      </c>
      <c r="K31" s="2096">
        <f t="shared" si="45"/>
        <v>0</v>
      </c>
      <c r="L31" s="2096">
        <f t="shared" si="45"/>
        <v>0</v>
      </c>
      <c r="M31" s="2096">
        <f t="shared" si="45"/>
        <v>0</v>
      </c>
      <c r="N31" s="2096">
        <f t="shared" si="45"/>
        <v>0</v>
      </c>
      <c r="O31" s="2096">
        <f t="shared" si="45"/>
        <v>0</v>
      </c>
      <c r="P31" s="2114">
        <f t="shared" si="4"/>
        <v>0</v>
      </c>
      <c r="Q31" s="2112">
        <f t="shared" si="46"/>
        <v>0</v>
      </c>
      <c r="R31" s="2097">
        <f t="shared" ca="1" si="47"/>
        <v>0</v>
      </c>
      <c r="S31" s="2097">
        <f t="shared" ca="1" si="47"/>
        <v>0</v>
      </c>
      <c r="T31" s="2097">
        <f t="shared" ca="1" si="47"/>
        <v>0</v>
      </c>
      <c r="U31" s="2097">
        <f t="shared" si="48"/>
        <v>0</v>
      </c>
      <c r="V31" s="2097">
        <f t="shared" si="48"/>
        <v>0</v>
      </c>
      <c r="W31" s="2097">
        <f t="shared" ca="1" si="49"/>
        <v>0</v>
      </c>
      <c r="X31" s="2097">
        <f t="shared" si="50"/>
        <v>0</v>
      </c>
      <c r="Y31" s="2097">
        <f t="shared" si="50"/>
        <v>0</v>
      </c>
      <c r="Z31" s="2097">
        <f t="shared" si="50"/>
        <v>0</v>
      </c>
      <c r="AA31" s="2097">
        <f t="shared" si="50"/>
        <v>0</v>
      </c>
      <c r="AB31" s="2097">
        <f t="shared" si="50"/>
        <v>0</v>
      </c>
      <c r="AC31" s="2098">
        <f t="shared" ca="1" si="8"/>
        <v>0</v>
      </c>
      <c r="AD31" s="1803"/>
      <c r="AE31" s="1803"/>
      <c r="AF31" s="1803"/>
      <c r="AG31" s="1803"/>
    </row>
    <row r="32" spans="1:33" ht="22" customHeight="1">
      <c r="A32" s="2836" t="s">
        <v>287</v>
      </c>
      <c r="B32" s="2837" t="s">
        <v>5792</v>
      </c>
      <c r="C32" s="2099" t="str">
        <f>VLOOKUP(VALUE($P$2&amp;$B32),Sheet_Items,7,0)</f>
        <v>（五）专项储备</v>
      </c>
      <c r="D32" s="2096">
        <f t="shared" ref="D32:O32" si="51">SUM(D33:D34)</f>
        <v>0</v>
      </c>
      <c r="E32" s="2096">
        <f t="shared" si="51"/>
        <v>0</v>
      </c>
      <c r="F32" s="2096">
        <f t="shared" si="51"/>
        <v>0</v>
      </c>
      <c r="G32" s="2096">
        <f t="shared" si="51"/>
        <v>0</v>
      </c>
      <c r="H32" s="2096">
        <f t="shared" si="51"/>
        <v>0</v>
      </c>
      <c r="I32" s="2096">
        <f t="shared" si="51"/>
        <v>0</v>
      </c>
      <c r="J32" s="2096">
        <f t="shared" si="51"/>
        <v>0</v>
      </c>
      <c r="K32" s="2096">
        <f t="shared" si="51"/>
        <v>0</v>
      </c>
      <c r="L32" s="2096">
        <f t="shared" si="51"/>
        <v>0</v>
      </c>
      <c r="M32" s="2096">
        <f t="shared" ref="M32" si="52">SUM(M33:M34)</f>
        <v>0</v>
      </c>
      <c r="N32" s="2096">
        <f t="shared" si="51"/>
        <v>0</v>
      </c>
      <c r="O32" s="2096">
        <f t="shared" si="51"/>
        <v>0</v>
      </c>
      <c r="P32" s="2114">
        <f t="shared" si="4"/>
        <v>0</v>
      </c>
      <c r="Q32" s="2112">
        <f t="shared" ref="Q32:AB32" si="53">SUM(Q33:Q34)</f>
        <v>0</v>
      </c>
      <c r="R32" s="2097">
        <f t="shared" ca="1" si="53"/>
        <v>0</v>
      </c>
      <c r="S32" s="2097">
        <f t="shared" ca="1" si="53"/>
        <v>0</v>
      </c>
      <c r="T32" s="2097">
        <f t="shared" ca="1" si="53"/>
        <v>0</v>
      </c>
      <c r="U32" s="2097">
        <f t="shared" si="53"/>
        <v>0</v>
      </c>
      <c r="V32" s="2097">
        <f t="shared" si="53"/>
        <v>0</v>
      </c>
      <c r="W32" s="2097">
        <f t="shared" ca="1" si="53"/>
        <v>0</v>
      </c>
      <c r="X32" s="2097">
        <f t="shared" si="53"/>
        <v>0</v>
      </c>
      <c r="Y32" s="2097">
        <f t="shared" si="53"/>
        <v>0</v>
      </c>
      <c r="Z32" s="2097">
        <f t="shared" ref="Z32" si="54">SUM(Z33:Z34)</f>
        <v>0</v>
      </c>
      <c r="AA32" s="2097">
        <f t="shared" si="53"/>
        <v>0</v>
      </c>
      <c r="AB32" s="2097">
        <f t="shared" si="53"/>
        <v>0</v>
      </c>
      <c r="AC32" s="2098">
        <f t="shared" ca="1" si="8"/>
        <v>0</v>
      </c>
      <c r="AD32" s="1803"/>
      <c r="AE32" s="1803"/>
      <c r="AF32" s="1803"/>
      <c r="AG32" s="1803"/>
    </row>
    <row r="33" spans="1:33" ht="22" customHeight="1">
      <c r="A33" s="2836"/>
      <c r="B33" s="2837" t="s">
        <v>2592</v>
      </c>
      <c r="C33" s="2101" t="str">
        <f>VLOOKUP(VALUE($P$2&amp;$B33),Sheet_Items,6,0)</f>
        <v>本年提取</v>
      </c>
      <c r="D33" s="2096">
        <f>IF(ISERROR(VLOOKUP(VALUE(D$2&amp;$B33),Sheet_Trialbal,6,0)),0,VLOOKUP(VALUE(D$2&amp;$B33),Sheet_Trialbal,6,0))</f>
        <v>0</v>
      </c>
      <c r="E33" s="2096">
        <f t="shared" ref="E33:G35" si="55">IF(ISERROR(VLOOKUP(E$2&amp;$B33,Sheet_Trialbal,6,0)),0,VLOOKUP(E$2&amp;$B33,Sheet_Trialbal,6,0))</f>
        <v>0</v>
      </c>
      <c r="F33" s="2096">
        <f t="shared" si="55"/>
        <v>0</v>
      </c>
      <c r="G33" s="2096">
        <f t="shared" si="55"/>
        <v>0</v>
      </c>
      <c r="H33" s="2096">
        <f t="shared" ref="H33:I35" si="56">IF(ISERROR(VLOOKUP(VALUE(H$2&amp;$B33),Sheet_Trialbal,6,0)),0,VLOOKUP(VALUE(H$2&amp;$B33),Sheet_Trialbal,6,0))</f>
        <v>0</v>
      </c>
      <c r="I33" s="2096">
        <f t="shared" si="56"/>
        <v>0</v>
      </c>
      <c r="J33" s="2096">
        <f>IF(ISERROR(VLOOKUP(J$2&amp;$B33,Sheet_Trialbal,6,0)),0,VLOOKUP(J$2&amp;$B33,Sheet_Trialbal,6,0))</f>
        <v>0</v>
      </c>
      <c r="K33" s="2096">
        <f t="shared" ref="K33:O35" si="57">IF(ISERROR(VLOOKUP(VALUE(K$2&amp;$B33),Sheet_Trialbal,6,0)),0,VLOOKUP(VALUE(K$2&amp;$B33),Sheet_Trialbal,6,0))</f>
        <v>0</v>
      </c>
      <c r="L33" s="2096">
        <f t="shared" si="57"/>
        <v>0</v>
      </c>
      <c r="M33" s="2096">
        <f t="shared" si="57"/>
        <v>0</v>
      </c>
      <c r="N33" s="2096">
        <f t="shared" si="57"/>
        <v>0</v>
      </c>
      <c r="O33" s="2096">
        <f t="shared" si="57"/>
        <v>0</v>
      </c>
      <c r="P33" s="2114">
        <f t="shared" si="4"/>
        <v>0</v>
      </c>
      <c r="Q33" s="2112">
        <f>IF(ISERROR(VLOOKUP(VALUE(Q$2&amp;$B33),Sheet_Trialbal,10,0)),0,VLOOKUP(VALUE(Q$2&amp;$B33),Sheet_Trialbal,10,0))</f>
        <v>0</v>
      </c>
      <c r="R33" s="2097">
        <f t="shared" ref="R33:T35" ca="1" si="58">IF(ISERROR(VLOOKUP(R$2&amp;$B33,Sheet_Trialbal,10,0)),0,VLOOKUP(R$2&amp;$B33,Sheet_Trialbal,10,0))</f>
        <v>0</v>
      </c>
      <c r="S33" s="2097">
        <f t="shared" ca="1" si="58"/>
        <v>0</v>
      </c>
      <c r="T33" s="2097">
        <f t="shared" ca="1" si="58"/>
        <v>0</v>
      </c>
      <c r="U33" s="2097">
        <f t="shared" ref="U33:V35" si="59">IF(ISERROR(VLOOKUP(VALUE(U$2&amp;$B33),Sheet_Trialbal,10,0)),0,VLOOKUP(VALUE(U$2&amp;$B33),Sheet_Trialbal,10,0))</f>
        <v>0</v>
      </c>
      <c r="V33" s="2097">
        <f t="shared" si="59"/>
        <v>0</v>
      </c>
      <c r="W33" s="2097">
        <f ca="1">IF(ISERROR(VLOOKUP(W$2&amp;$B33,Sheet_Trialbal,10,0)),0,VLOOKUP(W$2&amp;$B33,Sheet_Trialbal,10,0))</f>
        <v>0</v>
      </c>
      <c r="X33" s="2097">
        <f t="shared" ref="X33:AB35" si="60">IF(ISERROR(VLOOKUP(VALUE(X$2&amp;$B33),Sheet_Trialbal,10,0)),0,VLOOKUP(VALUE(X$2&amp;$B33),Sheet_Trialbal,10,0))</f>
        <v>0</v>
      </c>
      <c r="Y33" s="2097">
        <f t="shared" si="60"/>
        <v>0</v>
      </c>
      <c r="Z33" s="2097">
        <f t="shared" si="60"/>
        <v>0</v>
      </c>
      <c r="AA33" s="2097">
        <f t="shared" si="60"/>
        <v>0</v>
      </c>
      <c r="AB33" s="2097">
        <f t="shared" si="60"/>
        <v>0</v>
      </c>
      <c r="AC33" s="2098">
        <f t="shared" ca="1" si="8"/>
        <v>0</v>
      </c>
      <c r="AD33" s="1803"/>
      <c r="AE33" s="1803"/>
      <c r="AF33" s="1803"/>
      <c r="AG33" s="1803"/>
    </row>
    <row r="34" spans="1:33" ht="22" customHeight="1">
      <c r="A34" s="2836"/>
      <c r="B34" s="2837" t="s">
        <v>2596</v>
      </c>
      <c r="C34" s="2102" t="str">
        <f>VLOOKUP(VALUE($P$2&amp;$B34),Sheet_Items,6,0)</f>
        <v>本年使用</v>
      </c>
      <c r="D34" s="2096">
        <f>IF(ISERROR(VLOOKUP(VALUE(D$2&amp;$B34),Sheet_Trialbal,6,0)),0,VLOOKUP(VALUE(D$2&amp;$B34),Sheet_Trialbal,6,0))</f>
        <v>0</v>
      </c>
      <c r="E34" s="2096">
        <f t="shared" si="55"/>
        <v>0</v>
      </c>
      <c r="F34" s="2096">
        <f t="shared" si="55"/>
        <v>0</v>
      </c>
      <c r="G34" s="2096">
        <f t="shared" si="55"/>
        <v>0</v>
      </c>
      <c r="H34" s="2096">
        <f t="shared" si="56"/>
        <v>0</v>
      </c>
      <c r="I34" s="2096">
        <f t="shared" si="56"/>
        <v>0</v>
      </c>
      <c r="J34" s="2096">
        <f>IF(ISERROR(VLOOKUP(J$2&amp;$B34,Sheet_Trialbal,6,0)),0,VLOOKUP(J$2&amp;$B34,Sheet_Trialbal,6,0))</f>
        <v>0</v>
      </c>
      <c r="K34" s="2096">
        <f t="shared" si="57"/>
        <v>0</v>
      </c>
      <c r="L34" s="2096">
        <f t="shared" si="57"/>
        <v>0</v>
      </c>
      <c r="M34" s="2096">
        <f t="shared" si="57"/>
        <v>0</v>
      </c>
      <c r="N34" s="2096">
        <f t="shared" si="57"/>
        <v>0</v>
      </c>
      <c r="O34" s="2096">
        <f t="shared" si="57"/>
        <v>0</v>
      </c>
      <c r="P34" s="2114">
        <f t="shared" si="4"/>
        <v>0</v>
      </c>
      <c r="Q34" s="2112">
        <f>IF(ISERROR(VLOOKUP(VALUE(Q$2&amp;$B34),Sheet_Trialbal,10,0)),0,VLOOKUP(VALUE(Q$2&amp;$B34),Sheet_Trialbal,10,0))</f>
        <v>0</v>
      </c>
      <c r="R34" s="2097">
        <f t="shared" ca="1" si="58"/>
        <v>0</v>
      </c>
      <c r="S34" s="2097">
        <f t="shared" ca="1" si="58"/>
        <v>0</v>
      </c>
      <c r="T34" s="2097">
        <f t="shared" ca="1" si="58"/>
        <v>0</v>
      </c>
      <c r="U34" s="2097">
        <f t="shared" si="59"/>
        <v>0</v>
      </c>
      <c r="V34" s="2097">
        <f t="shared" si="59"/>
        <v>0</v>
      </c>
      <c r="W34" s="2097">
        <f ca="1">IF(ISERROR(VLOOKUP(W$2&amp;$B34,Sheet_Trialbal,10,0)),0,VLOOKUP(W$2&amp;$B34,Sheet_Trialbal,10,0))</f>
        <v>0</v>
      </c>
      <c r="X34" s="2097">
        <f t="shared" si="60"/>
        <v>0</v>
      </c>
      <c r="Y34" s="2097">
        <f t="shared" si="60"/>
        <v>0</v>
      </c>
      <c r="Z34" s="2097">
        <f t="shared" si="60"/>
        <v>0</v>
      </c>
      <c r="AA34" s="2097">
        <f t="shared" si="60"/>
        <v>0</v>
      </c>
      <c r="AB34" s="2097">
        <f t="shared" si="60"/>
        <v>0</v>
      </c>
      <c r="AC34" s="2098">
        <f t="shared" ca="1" si="8"/>
        <v>0</v>
      </c>
      <c r="AD34" s="1803"/>
      <c r="AE34" s="1803"/>
      <c r="AF34" s="1803"/>
      <c r="AG34" s="1803"/>
    </row>
    <row r="35" spans="1:33" ht="22" customHeight="1">
      <c r="A35" s="2836"/>
      <c r="B35" s="2838" t="s">
        <v>5799</v>
      </c>
      <c r="C35" s="2099" t="str">
        <f>VLOOKUP(VALUE($P$2&amp;$B35),Sheet_Items,7,0)</f>
        <v>（六）其他</v>
      </c>
      <c r="D35" s="2096">
        <f>IF(ISERROR(VLOOKUP(VALUE(D$2&amp;$B35),Sheet_Trialbal,6,0)),0,VLOOKUP(VALUE(D$2&amp;$B35),Sheet_Trialbal,6,0))</f>
        <v>0</v>
      </c>
      <c r="E35" s="2096">
        <f t="shared" si="55"/>
        <v>0</v>
      </c>
      <c r="F35" s="2096">
        <f t="shared" si="55"/>
        <v>0</v>
      </c>
      <c r="G35" s="2096">
        <f t="shared" si="55"/>
        <v>0</v>
      </c>
      <c r="H35" s="2096">
        <f t="shared" si="56"/>
        <v>0</v>
      </c>
      <c r="I35" s="2096">
        <f t="shared" si="56"/>
        <v>0</v>
      </c>
      <c r="J35" s="2096">
        <f>IF(ISERROR(VLOOKUP(J$2&amp;$B35,Sheet_Trialbal,6,0)),0,VLOOKUP(J$2&amp;$B35,Sheet_Trialbal,6,0))</f>
        <v>0</v>
      </c>
      <c r="K35" s="2096">
        <f t="shared" si="57"/>
        <v>0</v>
      </c>
      <c r="L35" s="2096">
        <f t="shared" si="57"/>
        <v>0</v>
      </c>
      <c r="M35" s="2096">
        <f t="shared" si="57"/>
        <v>0</v>
      </c>
      <c r="N35" s="2096">
        <f t="shared" si="57"/>
        <v>0</v>
      </c>
      <c r="O35" s="2096">
        <f t="shared" si="57"/>
        <v>0</v>
      </c>
      <c r="P35" s="2114">
        <f t="shared" si="4"/>
        <v>0</v>
      </c>
      <c r="Q35" s="2112">
        <f>IF(ISERROR(VLOOKUP(VALUE(Q$2&amp;$B35),Sheet_Trialbal,10,0)),0,VLOOKUP(VALUE(Q$2&amp;$B35),Sheet_Trialbal,10,0))</f>
        <v>0</v>
      </c>
      <c r="R35" s="2097">
        <f t="shared" ca="1" si="58"/>
        <v>0</v>
      </c>
      <c r="S35" s="2097">
        <f t="shared" ca="1" si="58"/>
        <v>0</v>
      </c>
      <c r="T35" s="2097">
        <f t="shared" ca="1" si="58"/>
        <v>0</v>
      </c>
      <c r="U35" s="2097">
        <f t="shared" si="59"/>
        <v>0</v>
      </c>
      <c r="V35" s="2097">
        <f t="shared" si="59"/>
        <v>0</v>
      </c>
      <c r="W35" s="2097">
        <f ca="1">IF(ISERROR(VLOOKUP(W$2&amp;$B35,Sheet_Trialbal,10,0)),0,VLOOKUP(W$2&amp;$B35,Sheet_Trialbal,10,0))</f>
        <v>0</v>
      </c>
      <c r="X35" s="2097">
        <f t="shared" si="60"/>
        <v>0</v>
      </c>
      <c r="Y35" s="2097">
        <f t="shared" si="60"/>
        <v>0</v>
      </c>
      <c r="Z35" s="2097">
        <f t="shared" si="60"/>
        <v>0</v>
      </c>
      <c r="AA35" s="2097">
        <f t="shared" si="60"/>
        <v>0</v>
      </c>
      <c r="AB35" s="2097">
        <f t="shared" si="60"/>
        <v>0</v>
      </c>
      <c r="AC35" s="2098">
        <f t="shared" ca="1" si="8"/>
        <v>0</v>
      </c>
      <c r="AD35" s="1803"/>
      <c r="AE35" s="1803"/>
      <c r="AF35" s="1803"/>
      <c r="AG35" s="1803"/>
    </row>
    <row r="36" spans="1:33" ht="22" customHeight="1" thickBot="1">
      <c r="A36" s="2836" t="s">
        <v>287</v>
      </c>
      <c r="B36" s="2837" t="s">
        <v>2643</v>
      </c>
      <c r="C36" s="2107" t="str">
        <f>VLOOKUP(VALUE($P$2&amp;$B36),Sheet_Items,7,0)</f>
        <v>四、本年年末余额</v>
      </c>
      <c r="D36" s="2108">
        <f t="shared" ref="D36:AC36" si="61">SUM(D13,D14)</f>
        <v>0</v>
      </c>
      <c r="E36" s="2108">
        <f t="shared" si="61"/>
        <v>0</v>
      </c>
      <c r="F36" s="2108">
        <f t="shared" si="61"/>
        <v>0</v>
      </c>
      <c r="G36" s="2108">
        <f t="shared" si="61"/>
        <v>0</v>
      </c>
      <c r="H36" s="2108">
        <f t="shared" si="61"/>
        <v>0</v>
      </c>
      <c r="I36" s="2108">
        <f t="shared" si="61"/>
        <v>0</v>
      </c>
      <c r="J36" s="2108">
        <f t="shared" si="61"/>
        <v>0</v>
      </c>
      <c r="K36" s="2108">
        <f t="shared" si="61"/>
        <v>0</v>
      </c>
      <c r="L36" s="2108">
        <f t="shared" si="61"/>
        <v>0</v>
      </c>
      <c r="M36" s="2108">
        <f t="shared" ref="M36" si="62">SUM(M13,M14)</f>
        <v>0</v>
      </c>
      <c r="N36" s="2108">
        <f t="shared" si="61"/>
        <v>-4039.23</v>
      </c>
      <c r="O36" s="2108">
        <f t="shared" si="61"/>
        <v>0</v>
      </c>
      <c r="P36" s="2115">
        <f t="shared" si="61"/>
        <v>-4039.23</v>
      </c>
      <c r="Q36" s="2113">
        <f t="shared" si="61"/>
        <v>0</v>
      </c>
      <c r="R36" s="2109">
        <f t="shared" ca="1" si="61"/>
        <v>0</v>
      </c>
      <c r="S36" s="2109">
        <f t="shared" ca="1" si="61"/>
        <v>0</v>
      </c>
      <c r="T36" s="2109">
        <f t="shared" ca="1" si="61"/>
        <v>0</v>
      </c>
      <c r="U36" s="2109">
        <f t="shared" si="61"/>
        <v>0</v>
      </c>
      <c r="V36" s="2109">
        <f t="shared" si="61"/>
        <v>0</v>
      </c>
      <c r="W36" s="2109">
        <f t="shared" ca="1" si="61"/>
        <v>0</v>
      </c>
      <c r="X36" s="2109">
        <f t="shared" si="61"/>
        <v>0</v>
      </c>
      <c r="Y36" s="2109">
        <f t="shared" si="61"/>
        <v>0</v>
      </c>
      <c r="Z36" s="2109">
        <f t="shared" ref="Z36" si="63">SUM(Z13,Z14)</f>
        <v>0</v>
      </c>
      <c r="AA36" s="2109">
        <f t="shared" si="61"/>
        <v>-1714.32</v>
      </c>
      <c r="AB36" s="2109">
        <f t="shared" si="61"/>
        <v>0</v>
      </c>
      <c r="AC36" s="2110">
        <f t="shared" ca="1" si="61"/>
        <v>-1714.32</v>
      </c>
      <c r="AD36" s="1803"/>
      <c r="AE36" s="1803"/>
      <c r="AF36" s="1803"/>
      <c r="AG36" s="1803"/>
    </row>
    <row r="37" spans="1:33" ht="17">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7">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6">
      <c r="A41" s="2878" t="s">
        <v>2565</v>
      </c>
      <c r="B41" s="2879"/>
      <c r="C41" s="1966" t="s">
        <v>5825</v>
      </c>
      <c r="D41" s="1967"/>
      <c r="E41" s="1967"/>
      <c r="F41" s="1967"/>
      <c r="G41" s="1967"/>
      <c r="H41" s="1968"/>
      <c r="I41" s="1968"/>
      <c r="J41" s="1968"/>
      <c r="K41" s="1968"/>
      <c r="L41" s="1968"/>
      <c r="M41" s="1968"/>
      <c r="N41" s="1968"/>
      <c r="O41" s="1969" t="s">
        <v>47</v>
      </c>
      <c r="P41" s="1968"/>
      <c r="Q41" s="1970" t="s">
        <v>5842</v>
      </c>
      <c r="R41" s="1970" t="s">
        <v>2610</v>
      </c>
      <c r="S41" s="1970" t="s">
        <v>2611</v>
      </c>
      <c r="T41" s="1970" t="s">
        <v>2612</v>
      </c>
      <c r="U41" s="1971" t="s">
        <v>592</v>
      </c>
      <c r="V41" s="1971" t="s">
        <v>682</v>
      </c>
      <c r="W41" s="1971" t="s">
        <v>621</v>
      </c>
      <c r="X41" s="1971" t="s">
        <v>627</v>
      </c>
      <c r="Y41" s="1971" t="s">
        <v>602</v>
      </c>
      <c r="Z41" s="1971" t="s">
        <v>5874</v>
      </c>
      <c r="AA41" s="1971" t="s">
        <v>611</v>
      </c>
      <c r="AB41" s="1971" t="s">
        <v>932</v>
      </c>
      <c r="AC41" s="1972" t="s">
        <v>2614</v>
      </c>
      <c r="AD41" s="1973"/>
      <c r="AE41" s="1973"/>
      <c r="AF41" s="1973"/>
      <c r="AG41" s="1973"/>
    </row>
    <row r="42" spans="1:33" s="1974" customFormat="1" ht="17">
      <c r="A42" s="2879" t="s">
        <v>2565</v>
      </c>
      <c r="B42" s="2880"/>
      <c r="C42" s="1975" t="s">
        <v>5843</v>
      </c>
      <c r="D42" s="1976"/>
      <c r="E42" s="1976"/>
      <c r="F42" s="1976"/>
      <c r="G42" s="1976"/>
      <c r="H42" s="1976"/>
      <c r="I42" s="1976"/>
      <c r="J42" s="1976"/>
      <c r="K42" s="1976"/>
      <c r="L42" s="1977" t="s">
        <v>5827</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7">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4">D13</f>
        <v>0</v>
      </c>
      <c r="R43" s="1898">
        <f t="shared" si="64"/>
        <v>0</v>
      </c>
      <c r="S43" s="1898">
        <f t="shared" si="64"/>
        <v>0</v>
      </c>
      <c r="T43" s="1898">
        <f t="shared" si="64"/>
        <v>0</v>
      </c>
      <c r="U43" s="1898">
        <f t="shared" si="64"/>
        <v>0</v>
      </c>
      <c r="V43" s="1898">
        <f t="shared" si="64"/>
        <v>0</v>
      </c>
      <c r="W43" s="1898">
        <f t="shared" si="64"/>
        <v>0</v>
      </c>
      <c r="X43" s="1898">
        <f t="shared" si="64"/>
        <v>0</v>
      </c>
      <c r="Y43" s="1898">
        <f t="shared" si="64"/>
        <v>0</v>
      </c>
      <c r="Z43" s="1898">
        <f t="shared" si="64"/>
        <v>0</v>
      </c>
      <c r="AA43" s="1898">
        <f t="shared" ref="AA43:AC43" si="65">N13</f>
        <v>-1714.32</v>
      </c>
      <c r="AB43" s="1898">
        <f t="shared" si="65"/>
        <v>0</v>
      </c>
      <c r="AC43" s="1867">
        <f t="shared" si="65"/>
        <v>-1714.32</v>
      </c>
      <c r="AD43" s="1973"/>
      <c r="AE43" s="1973"/>
      <c r="AF43" s="1973"/>
      <c r="AG43" s="1973"/>
    </row>
    <row r="44" spans="1:33" s="1974" customFormat="1" ht="17">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6">Q36</f>
        <v>0</v>
      </c>
      <c r="R44" s="1982">
        <f t="shared" ca="1" si="66"/>
        <v>0</v>
      </c>
      <c r="S44" s="1982">
        <f t="shared" ca="1" si="66"/>
        <v>0</v>
      </c>
      <c r="T44" s="1982">
        <f t="shared" ca="1" si="66"/>
        <v>0</v>
      </c>
      <c r="U44" s="1983">
        <f t="shared" si="66"/>
        <v>0</v>
      </c>
      <c r="V44" s="1983">
        <f t="shared" si="66"/>
        <v>0</v>
      </c>
      <c r="W44" s="1983">
        <f t="shared" ca="1" si="66"/>
        <v>0</v>
      </c>
      <c r="X44" s="1983">
        <f t="shared" si="66"/>
        <v>0</v>
      </c>
      <c r="Y44" s="1983">
        <f t="shared" si="66"/>
        <v>0</v>
      </c>
      <c r="Z44" s="1983">
        <f t="shared" si="66"/>
        <v>0</v>
      </c>
      <c r="AA44" s="1983">
        <f t="shared" si="66"/>
        <v>-1714.32</v>
      </c>
      <c r="AB44" s="1983">
        <f t="shared" si="66"/>
        <v>0</v>
      </c>
      <c r="AC44" s="1899">
        <f t="shared" ca="1" si="66"/>
        <v>-1714.32</v>
      </c>
      <c r="AD44" s="1973"/>
      <c r="AE44" s="1973"/>
      <c r="AF44" s="1973"/>
      <c r="AG44" s="1973"/>
    </row>
    <row r="45" spans="1:33" s="1974" customFormat="1" ht="17.5" thickBot="1">
      <c r="A45" s="2879" t="s">
        <v>2565</v>
      </c>
      <c r="B45" s="2880"/>
      <c r="C45" s="1984" t="s">
        <v>5830</v>
      </c>
      <c r="D45" s="1976"/>
      <c r="E45" s="1976"/>
      <c r="F45" s="1976"/>
      <c r="G45" s="1976"/>
      <c r="H45" s="1976"/>
      <c r="I45" s="1976"/>
      <c r="J45" s="1976"/>
      <c r="K45" s="1976"/>
      <c r="L45" s="1985" t="s">
        <v>2580</v>
      </c>
      <c r="M45" s="1985"/>
      <c r="N45" s="1978"/>
      <c r="O45" s="1978"/>
      <c r="P45" s="1976"/>
      <c r="Q45" s="1902">
        <f t="shared" ref="Q45:AC45" si="67">ROUND(Q43-Q44,2)</f>
        <v>0</v>
      </c>
      <c r="R45" s="1902">
        <f t="shared" ca="1" si="67"/>
        <v>0</v>
      </c>
      <c r="S45" s="1902">
        <f t="shared" ca="1" si="67"/>
        <v>0</v>
      </c>
      <c r="T45" s="1902">
        <f t="shared" ca="1" si="67"/>
        <v>0</v>
      </c>
      <c r="U45" s="1986">
        <f t="shared" si="67"/>
        <v>0</v>
      </c>
      <c r="V45" s="1986">
        <f t="shared" si="67"/>
        <v>0</v>
      </c>
      <c r="W45" s="1986">
        <f t="shared" ca="1" si="67"/>
        <v>0</v>
      </c>
      <c r="X45" s="1986">
        <f t="shared" si="67"/>
        <v>0</v>
      </c>
      <c r="Y45" s="1986">
        <f t="shared" si="67"/>
        <v>0</v>
      </c>
      <c r="Z45" s="1986">
        <f t="shared" ref="Z45" si="68">ROUND(Z43-Z44,2)</f>
        <v>0</v>
      </c>
      <c r="AA45" s="1986">
        <f t="shared" si="67"/>
        <v>0</v>
      </c>
      <c r="AB45" s="1986">
        <f t="shared" si="67"/>
        <v>0</v>
      </c>
      <c r="AC45" s="1903">
        <f t="shared" ca="1" si="67"/>
        <v>0</v>
      </c>
      <c r="AD45" s="1973"/>
      <c r="AE45" s="1973"/>
      <c r="AF45" s="1973"/>
      <c r="AG45" s="1973"/>
    </row>
    <row r="46" spans="1:33" s="1974" customFormat="1" ht="17.5" thickTop="1">
      <c r="A46" s="2879" t="s">
        <v>2565</v>
      </c>
      <c r="B46" s="2880"/>
      <c r="C46" s="1984" t="s">
        <v>5830</v>
      </c>
      <c r="D46" s="1976"/>
      <c r="E46" s="1976"/>
      <c r="F46" s="1976"/>
      <c r="G46" s="1976"/>
      <c r="H46" s="1976"/>
      <c r="I46" s="1976"/>
      <c r="J46" s="1976"/>
      <c r="K46" s="1976"/>
      <c r="L46" s="1976"/>
      <c r="M46" s="1976"/>
      <c r="N46" s="1976"/>
      <c r="O46" s="1976"/>
      <c r="P46" s="1976"/>
      <c r="Q46" s="1905" t="str">
        <f t="shared" ref="Q46:AC46" si="69">IF(Q45=0,"√","×")</f>
        <v>√</v>
      </c>
      <c r="R46" s="1905" t="str">
        <f t="shared" ca="1" si="69"/>
        <v>√</v>
      </c>
      <c r="S46" s="1905" t="str">
        <f t="shared" ca="1" si="69"/>
        <v>√</v>
      </c>
      <c r="T46" s="1905" t="str">
        <f t="shared" ca="1" si="69"/>
        <v>√</v>
      </c>
      <c r="U46" s="1987" t="str">
        <f t="shared" si="69"/>
        <v>√</v>
      </c>
      <c r="V46" s="1987" t="str">
        <f t="shared" si="69"/>
        <v>√</v>
      </c>
      <c r="W46" s="1987" t="str">
        <f t="shared" ca="1" si="69"/>
        <v>√</v>
      </c>
      <c r="X46" s="1987" t="str">
        <f t="shared" si="69"/>
        <v>√</v>
      </c>
      <c r="Y46" s="1987" t="str">
        <f t="shared" si="69"/>
        <v>√</v>
      </c>
      <c r="Z46" s="1987" t="str">
        <f t="shared" ref="Z46" si="70">IF(Z45=0,"√","×")</f>
        <v>√</v>
      </c>
      <c r="AA46" s="1987" t="str">
        <f t="shared" si="69"/>
        <v>√</v>
      </c>
      <c r="AB46" s="1987" t="str">
        <f t="shared" si="69"/>
        <v>√</v>
      </c>
      <c r="AC46" s="1906" t="str">
        <f t="shared" ca="1" si="69"/>
        <v>√</v>
      </c>
      <c r="AD46" s="1973"/>
      <c r="AE46" s="1973"/>
      <c r="AF46" s="1973"/>
      <c r="AG46" s="1973"/>
    </row>
    <row r="47" spans="1:33" s="1974" customFormat="1" ht="17">
      <c r="A47" s="2879" t="s">
        <v>2565</v>
      </c>
      <c r="B47" s="2880"/>
      <c r="C47" s="1988" t="s">
        <v>5825</v>
      </c>
      <c r="D47" s="1989" t="s">
        <v>5841</v>
      </c>
      <c r="E47" s="1990"/>
      <c r="F47" s="1990"/>
      <c r="G47" s="1990"/>
      <c r="H47" s="1991"/>
      <c r="I47" s="1991"/>
      <c r="J47" s="1991"/>
      <c r="K47" s="1991"/>
      <c r="L47" s="1991"/>
      <c r="M47" s="1991"/>
      <c r="N47" s="1991"/>
      <c r="O47" s="1991"/>
      <c r="P47" s="1992"/>
      <c r="Q47" s="1993" t="s">
        <v>5844</v>
      </c>
      <c r="R47" s="1993"/>
      <c r="S47" s="1993"/>
      <c r="T47" s="1993"/>
      <c r="U47" s="1991"/>
      <c r="V47" s="1991"/>
      <c r="W47" s="1991"/>
      <c r="X47" s="1991"/>
      <c r="Y47" s="1991"/>
      <c r="Z47" s="1991"/>
      <c r="AA47" s="1991"/>
      <c r="AB47" s="1991"/>
      <c r="AC47" s="1994"/>
      <c r="AD47" s="1973"/>
      <c r="AE47" s="1973"/>
      <c r="AF47" s="1973"/>
      <c r="AG47" s="1973"/>
    </row>
    <row r="48" spans="1:33" s="1974" customFormat="1" ht="26">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5874</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5874</v>
      </c>
      <c r="AA48" s="1996" t="s">
        <v>611</v>
      </c>
      <c r="AB48" s="1996" t="s">
        <v>932</v>
      </c>
      <c r="AC48" s="1999" t="s">
        <v>2614</v>
      </c>
      <c r="AD48" s="1973"/>
      <c r="AE48" s="1973"/>
      <c r="AF48" s="1973"/>
      <c r="AG48" s="1973"/>
    </row>
    <row r="49" spans="1:33" s="1974" customFormat="1" ht="17">
      <c r="A49" s="2879" t="s">
        <v>2565</v>
      </c>
      <c r="B49" s="2880"/>
      <c r="C49" s="2000" t="s">
        <v>5845</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7">
      <c r="A50" s="2879" t="s">
        <v>2565</v>
      </c>
      <c r="B50" s="2880"/>
      <c r="C50" s="2002" t="str">
        <f>$C$36&amp;"  CE"</f>
        <v>四、本年年末余额  CE</v>
      </c>
      <c r="D50" s="1873">
        <f t="shared" ref="D50:AC50" si="71">D36</f>
        <v>0</v>
      </c>
      <c r="E50" s="1873">
        <f t="shared" si="71"/>
        <v>0</v>
      </c>
      <c r="F50" s="1873">
        <f t="shared" si="71"/>
        <v>0</v>
      </c>
      <c r="G50" s="1873">
        <f t="shared" si="71"/>
        <v>0</v>
      </c>
      <c r="H50" s="1873">
        <f t="shared" si="71"/>
        <v>0</v>
      </c>
      <c r="I50" s="1873">
        <f t="shared" si="71"/>
        <v>0</v>
      </c>
      <c r="J50" s="1873">
        <f t="shared" si="71"/>
        <v>0</v>
      </c>
      <c r="K50" s="1873">
        <f t="shared" si="71"/>
        <v>0</v>
      </c>
      <c r="L50" s="1873">
        <f t="shared" si="71"/>
        <v>0</v>
      </c>
      <c r="M50" s="1873">
        <f t="shared" si="71"/>
        <v>0</v>
      </c>
      <c r="N50" s="1873">
        <f t="shared" si="71"/>
        <v>-4039.23</v>
      </c>
      <c r="O50" s="1873">
        <f t="shared" si="71"/>
        <v>0</v>
      </c>
      <c r="P50" s="2003">
        <f t="shared" si="71"/>
        <v>-4039.23</v>
      </c>
      <c r="Q50" s="1982">
        <f t="shared" si="71"/>
        <v>0</v>
      </c>
      <c r="R50" s="1982">
        <f t="shared" ca="1" si="71"/>
        <v>0</v>
      </c>
      <c r="S50" s="1982">
        <f t="shared" ca="1" si="71"/>
        <v>0</v>
      </c>
      <c r="T50" s="1982">
        <f t="shared" ca="1" si="71"/>
        <v>0</v>
      </c>
      <c r="U50" s="1983">
        <f t="shared" si="71"/>
        <v>0</v>
      </c>
      <c r="V50" s="1983">
        <f t="shared" si="71"/>
        <v>0</v>
      </c>
      <c r="W50" s="1983">
        <f t="shared" ca="1" si="71"/>
        <v>0</v>
      </c>
      <c r="X50" s="1983">
        <f t="shared" si="71"/>
        <v>0</v>
      </c>
      <c r="Y50" s="1983">
        <f t="shared" si="71"/>
        <v>0</v>
      </c>
      <c r="Z50" s="1983">
        <f t="shared" si="71"/>
        <v>0</v>
      </c>
      <c r="AA50" s="1983">
        <f t="shared" si="71"/>
        <v>-1714.32</v>
      </c>
      <c r="AB50" s="1983">
        <f t="shared" si="71"/>
        <v>0</v>
      </c>
      <c r="AC50" s="1899">
        <f t="shared" ca="1" si="71"/>
        <v>-1714.32</v>
      </c>
      <c r="AD50" s="1973"/>
      <c r="AE50" s="1973"/>
      <c r="AF50" s="1973"/>
      <c r="AG50" s="1973"/>
    </row>
    <row r="51" spans="1:33" s="1974" customFormat="1" ht="17">
      <c r="A51" s="2879" t="s">
        <v>2565</v>
      </c>
      <c r="B51" s="2880"/>
      <c r="C51" s="2004" t="s">
        <v>5846</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-4039.23</v>
      </c>
      <c r="O51" s="1873"/>
      <c r="P51" s="2003">
        <f>BS!K49</f>
        <v>-4039.23</v>
      </c>
      <c r="Q51" s="1982">
        <f>BS!L38</f>
        <v>0</v>
      </c>
      <c r="R51" s="1982">
        <f>BS!L40</f>
        <v>0</v>
      </c>
      <c r="S51" s="1982">
        <f>BS!L41</f>
        <v>0</v>
      </c>
      <c r="T51" s="1982">
        <f>BS!L39-BS!L40-BS!L41</f>
        <v>0</v>
      </c>
      <c r="U51" s="1983">
        <f>BS!L42</f>
        <v>0</v>
      </c>
      <c r="V51" s="1983">
        <f>BS!L43</f>
        <v>0</v>
      </c>
      <c r="W51" s="1983">
        <f>BS!L44</f>
        <v>0</v>
      </c>
      <c r="X51" s="1983">
        <f>BS!L45</f>
        <v>0</v>
      </c>
      <c r="Y51" s="1983">
        <f>BS!L46</f>
        <v>0</v>
      </c>
      <c r="Z51" s="1983">
        <f>BS!L47</f>
        <v>0</v>
      </c>
      <c r="AA51" s="1983">
        <f>BS!L48</f>
        <v>-1714.32</v>
      </c>
      <c r="AB51" s="1983"/>
      <c r="AC51" s="1899">
        <f>BS!L49</f>
        <v>-1714.32</v>
      </c>
      <c r="AD51" s="1973"/>
      <c r="AE51" s="1973"/>
      <c r="AF51" s="1973"/>
      <c r="AG51" s="1973"/>
    </row>
    <row r="52" spans="1:33" s="1974" customFormat="1" ht="17.5" thickBot="1">
      <c r="A52" s="2879" t="s">
        <v>2565</v>
      </c>
      <c r="B52" s="2880"/>
      <c r="C52" s="2005" t="s">
        <v>2580</v>
      </c>
      <c r="D52" s="1986">
        <f t="shared" ref="D52:AC52" si="72">ROUND(D50-D51,2)</f>
        <v>0</v>
      </c>
      <c r="E52" s="1986">
        <f t="shared" si="72"/>
        <v>0</v>
      </c>
      <c r="F52" s="1986">
        <f t="shared" si="72"/>
        <v>0</v>
      </c>
      <c r="G52" s="1986">
        <f t="shared" si="72"/>
        <v>0</v>
      </c>
      <c r="H52" s="1986">
        <f t="shared" si="72"/>
        <v>0</v>
      </c>
      <c r="I52" s="1986">
        <f t="shared" si="72"/>
        <v>0</v>
      </c>
      <c r="J52" s="1986">
        <f t="shared" si="72"/>
        <v>0</v>
      </c>
      <c r="K52" s="1986">
        <f t="shared" si="72"/>
        <v>0</v>
      </c>
      <c r="L52" s="1986">
        <f t="shared" si="72"/>
        <v>0</v>
      </c>
      <c r="M52" s="1986">
        <f t="shared" ref="M52" si="73">ROUND(M50-M51,2)</f>
        <v>0</v>
      </c>
      <c r="N52" s="1986">
        <f t="shared" si="72"/>
        <v>0</v>
      </c>
      <c r="O52" s="1986">
        <f t="shared" si="72"/>
        <v>0</v>
      </c>
      <c r="P52" s="2006">
        <f t="shared" si="72"/>
        <v>0</v>
      </c>
      <c r="Q52" s="1902">
        <f t="shared" si="72"/>
        <v>0</v>
      </c>
      <c r="R52" s="1902">
        <f t="shared" ca="1" si="72"/>
        <v>0</v>
      </c>
      <c r="S52" s="1902">
        <f t="shared" ca="1" si="72"/>
        <v>0</v>
      </c>
      <c r="T52" s="1902">
        <f t="shared" ca="1" si="72"/>
        <v>0</v>
      </c>
      <c r="U52" s="1986">
        <f t="shared" si="72"/>
        <v>0</v>
      </c>
      <c r="V52" s="1986">
        <f t="shared" si="72"/>
        <v>0</v>
      </c>
      <c r="W52" s="1986">
        <f t="shared" ca="1" si="72"/>
        <v>0</v>
      </c>
      <c r="X52" s="1986">
        <f t="shared" si="72"/>
        <v>0</v>
      </c>
      <c r="Y52" s="1986">
        <f t="shared" si="72"/>
        <v>0</v>
      </c>
      <c r="Z52" s="1986">
        <f t="shared" ref="Z52" si="74">ROUND(Z50-Z51,2)</f>
        <v>0</v>
      </c>
      <c r="AA52" s="1986">
        <f t="shared" si="72"/>
        <v>0</v>
      </c>
      <c r="AB52" s="1986">
        <f t="shared" si="72"/>
        <v>0</v>
      </c>
      <c r="AC52" s="1903">
        <f t="shared" ca="1" si="72"/>
        <v>0</v>
      </c>
      <c r="AD52" s="1973"/>
      <c r="AE52" s="1973"/>
      <c r="AF52" s="1973"/>
      <c r="AG52" s="1973"/>
    </row>
    <row r="53" spans="1:33" s="1974" customFormat="1" ht="18" thickTop="1" thickBot="1">
      <c r="A53" s="2879" t="s">
        <v>2565</v>
      </c>
      <c r="B53" s="2880"/>
      <c r="C53" s="2007" t="s">
        <v>5821</v>
      </c>
      <c r="D53" s="2008" t="str">
        <f t="shared" ref="D53:AC53" si="75">IF(D52=0,"√","×")</f>
        <v>√</v>
      </c>
      <c r="E53" s="2008" t="str">
        <f t="shared" si="75"/>
        <v>√</v>
      </c>
      <c r="F53" s="2008" t="str">
        <f t="shared" si="75"/>
        <v>√</v>
      </c>
      <c r="G53" s="2008" t="str">
        <f t="shared" si="75"/>
        <v>√</v>
      </c>
      <c r="H53" s="2008" t="str">
        <f t="shared" si="75"/>
        <v>√</v>
      </c>
      <c r="I53" s="2008" t="str">
        <f t="shared" si="75"/>
        <v>√</v>
      </c>
      <c r="J53" s="2008" t="str">
        <f t="shared" si="75"/>
        <v>√</v>
      </c>
      <c r="K53" s="2008" t="str">
        <f t="shared" si="75"/>
        <v>√</v>
      </c>
      <c r="L53" s="2008" t="str">
        <f t="shared" si="75"/>
        <v>√</v>
      </c>
      <c r="M53" s="2008" t="str">
        <f t="shared" ref="M53" si="76">IF(M52=0,"√","×")</f>
        <v>√</v>
      </c>
      <c r="N53" s="2008" t="str">
        <f t="shared" si="75"/>
        <v>√</v>
      </c>
      <c r="O53" s="2008" t="str">
        <f t="shared" si="75"/>
        <v>√</v>
      </c>
      <c r="P53" s="2009" t="str">
        <f t="shared" si="75"/>
        <v>√</v>
      </c>
      <c r="Q53" s="2010" t="str">
        <f t="shared" si="75"/>
        <v>√</v>
      </c>
      <c r="R53" s="2010" t="str">
        <f t="shared" ca="1" si="75"/>
        <v>√</v>
      </c>
      <c r="S53" s="2010" t="str">
        <f t="shared" ca="1" si="75"/>
        <v>√</v>
      </c>
      <c r="T53" s="2010" t="str">
        <f t="shared" ca="1" si="75"/>
        <v>√</v>
      </c>
      <c r="U53" s="2008" t="str">
        <f t="shared" si="75"/>
        <v>√</v>
      </c>
      <c r="V53" s="2008" t="str">
        <f t="shared" si="75"/>
        <v>√</v>
      </c>
      <c r="W53" s="2008" t="str">
        <f t="shared" ca="1" si="75"/>
        <v>√</v>
      </c>
      <c r="X53" s="2008" t="str">
        <f t="shared" si="75"/>
        <v>√</v>
      </c>
      <c r="Y53" s="2008" t="str">
        <f t="shared" si="75"/>
        <v>√</v>
      </c>
      <c r="Z53" s="2008" t="str">
        <f t="shared" ref="Z53" si="77">IF(Z52=0,"√","×")</f>
        <v>√</v>
      </c>
      <c r="AA53" s="2008" t="str">
        <f t="shared" si="75"/>
        <v>√</v>
      </c>
      <c r="AB53" s="2008" t="str">
        <f t="shared" si="75"/>
        <v>√</v>
      </c>
      <c r="AC53" s="2011" t="str">
        <f t="shared" ca="1" si="75"/>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913" priority="128" stopIfTrue="1" operator="notEqual">
      <formula>0</formula>
    </cfRule>
  </conditionalFormatting>
  <conditionalFormatting sqref="C47:C48 C41">
    <cfRule type="expression" dxfId="3912" priority="127" stopIfTrue="1">
      <formula>#REF!=TRUE</formula>
    </cfRule>
  </conditionalFormatting>
  <conditionalFormatting sqref="C47:C48 C41">
    <cfRule type="expression" dxfId="3911"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I19" sqref="I19"/>
    </sheetView>
  </sheetViews>
  <sheetFormatPr defaultColWidth="9.09765625" defaultRowHeight="13"/>
  <cols>
    <col min="1" max="3" width="9.09765625" style="1651" hidden="1" customWidth="1"/>
    <col min="4" max="4" width="5.296875" style="855" customWidth="1"/>
    <col min="5" max="5" width="30.69921875" style="1" customWidth="1"/>
    <col min="6" max="13" width="14.69921875" style="1" customWidth="1"/>
    <col min="14" max="20" width="9.09765625" style="1"/>
    <col min="21" max="21" width="14.69921875" style="1" customWidth="1"/>
    <col min="22" max="16384" width="9.09765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余江县天骏投资管理有限公司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43864</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4"/>
      <c r="U6" s="1647" t="s">
        <v>6796</v>
      </c>
    </row>
    <row r="7" spans="1:21" ht="13.5" thickTop="1">
      <c r="A7" s="1647"/>
      <c r="B7" s="1647"/>
      <c r="C7" s="1647"/>
      <c r="D7" s="876"/>
      <c r="E7" s="877"/>
      <c r="F7" s="878" t="s">
        <v>2437</v>
      </c>
      <c r="G7" s="879"/>
      <c r="H7" s="879"/>
      <c r="I7" s="906"/>
      <c r="J7" s="907" t="s">
        <v>2444</v>
      </c>
      <c r="K7" s="908"/>
      <c r="L7" s="908"/>
      <c r="M7" s="909"/>
      <c r="N7" s="641"/>
      <c r="O7" s="641"/>
      <c r="P7" s="641"/>
      <c r="Q7" s="641"/>
      <c r="T7" s="3055"/>
      <c r="U7" s="3062"/>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3" t="s">
        <v>2657</v>
      </c>
    </row>
    <row r="9" spans="1:21" ht="17">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6">
        <v>1</v>
      </c>
      <c r="U9" s="3064"/>
    </row>
    <row r="10" spans="1:21" ht="17">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6">
        <v>1000</v>
      </c>
      <c r="U10" s="3064"/>
    </row>
    <row r="11" spans="1:21" ht="17">
      <c r="A11" s="1648">
        <f t="shared" si="0"/>
        <v>0</v>
      </c>
      <c r="B11" s="1647">
        <f t="shared" si="1"/>
        <v>1</v>
      </c>
      <c r="C11" s="1647" t="str">
        <f t="shared" si="2"/>
        <v>J</v>
      </c>
      <c r="D11" s="1659">
        <v>1015</v>
      </c>
      <c r="E11" s="886" t="str">
        <f t="shared" si="3"/>
        <v>货币资金</v>
      </c>
      <c r="F11" s="884">
        <f t="shared" ref="F11:F62" si="4">VLOOKUP($D11,Sheet_Prebs1,4,0)</f>
        <v>15480.77</v>
      </c>
      <c r="G11" s="885">
        <f>SUMIF(AJE!$B:$B,$C11&amp;$D11&amp;"*",AJE!$O:$O)</f>
        <v>0</v>
      </c>
      <c r="H11" s="885">
        <f>SUMIF(AJE!$B:$B,$C11&amp;$D11&amp;"*",AJE!$P:$P)</f>
        <v>0</v>
      </c>
      <c r="I11" s="913">
        <f>($B11*F11+G11-H11)*$B11</f>
        <v>15480.77</v>
      </c>
      <c r="J11" s="914">
        <f t="shared" ref="J11:J62" si="5">VLOOKUP($D11,Sheet_Prebs1,5,0)</f>
        <v>17805.68</v>
      </c>
      <c r="K11" s="885">
        <f>SUMIF('AJE1'!$B:$B,$C11&amp;$D11&amp;"*",'AJE1'!$O:$O)</f>
        <v>0</v>
      </c>
      <c r="L11" s="885">
        <f>SUMIF('AJE1'!$B:$B,$C11&amp;$D11&amp;"*",'AJE1'!$P:$P)</f>
        <v>0</v>
      </c>
      <c r="M11" s="891">
        <f t="shared" ref="M11:M62" si="6">($B11*J11+K11-L11)*$B11</f>
        <v>17805.68</v>
      </c>
      <c r="N11" s="641"/>
      <c r="O11" s="641"/>
      <c r="P11" s="641"/>
      <c r="Q11" s="641"/>
      <c r="T11" s="3056">
        <v>1015</v>
      </c>
      <c r="U11" s="3064">
        <v>17805.68</v>
      </c>
    </row>
    <row r="12" spans="1:21" ht="17">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6">
        <v>1021</v>
      </c>
      <c r="U12" s="3064">
        <v>0</v>
      </c>
    </row>
    <row r="13" spans="1:21" ht="17">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6">
        <v>1302</v>
      </c>
      <c r="U13" s="3064">
        <v>0</v>
      </c>
    </row>
    <row r="14" spans="1:21" ht="17">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6">
        <v>1101</v>
      </c>
      <c r="U14" s="3064">
        <v>0</v>
      </c>
    </row>
    <row r="15" spans="1:21" ht="26">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6">
        <v>1115</v>
      </c>
      <c r="U15" s="3064">
        <v>0</v>
      </c>
    </row>
    <row r="16" spans="1:21" ht="17">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6">
        <v>1123</v>
      </c>
      <c r="U16" s="3064">
        <v>0</v>
      </c>
    </row>
    <row r="17" spans="1:21" ht="17">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c r="T17" s="3056">
        <v>1121</v>
      </c>
      <c r="U17" s="3064">
        <v>0</v>
      </c>
    </row>
    <row r="18" spans="1:21" ht="17">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6">
        <v>1122</v>
      </c>
      <c r="U18" s="3064">
        <v>0</v>
      </c>
    </row>
    <row r="19" spans="1:21" ht="17">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c r="T19" s="3056">
        <v>1125</v>
      </c>
      <c r="U19" s="3064">
        <v>0</v>
      </c>
    </row>
    <row r="20" spans="1:21" ht="17">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6">
        <v>1127</v>
      </c>
      <c r="U20" s="3064">
        <v>0</v>
      </c>
    </row>
    <row r="21" spans="1:21" ht="17">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56">
        <v>1211</v>
      </c>
      <c r="U21" s="3064">
        <v>0</v>
      </c>
    </row>
    <row r="22" spans="1:21" ht="17">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6">
        <v>1212</v>
      </c>
      <c r="U22" s="3064">
        <v>0</v>
      </c>
    </row>
    <row r="23" spans="1:21" ht="17">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6">
        <v>1220</v>
      </c>
      <c r="U23" s="3064">
        <v>0</v>
      </c>
    </row>
    <row r="24" spans="1:21" ht="17">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6">
        <v>1132</v>
      </c>
      <c r="U24" s="3064">
        <v>0</v>
      </c>
    </row>
    <row r="25" spans="1:21" ht="17">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0</v>
      </c>
      <c r="K25" s="885">
        <f>SUMIF('AJE1'!$B:$B,"J1221*",'AJE1'!$O:$O)+SUMIF('AJE1'!$B:$B,"J1132*",'AJE1'!$O:$O)+SUMIF('AJE1'!$B:$B,"J1131*",'AJE1'!$O:$O)</f>
        <v>0</v>
      </c>
      <c r="L25" s="885">
        <f>SUMIF('AJE1'!$B:$B,"J1221*",'AJE1'!$P:$P)+SUMIF('AJE1'!$B:$B,"J1132*",'AJE1'!$P:$P)+SUMIF('AJE1'!$B:$B,"J1131*",'AJE1'!$P:$P)</f>
        <v>0</v>
      </c>
      <c r="M25" s="891">
        <f t="shared" si="6"/>
        <v>0</v>
      </c>
      <c r="N25" s="641"/>
      <c r="O25" s="641"/>
      <c r="P25" s="641"/>
      <c r="Q25" s="641"/>
      <c r="T25" s="3056">
        <v>1131</v>
      </c>
      <c r="U25" s="3064">
        <v>0</v>
      </c>
    </row>
    <row r="26" spans="1:21" ht="17">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6">
        <v>1221</v>
      </c>
      <c r="U26" s="3064">
        <v>0</v>
      </c>
    </row>
    <row r="27" spans="1:21" ht="17">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6">
        <v>1111</v>
      </c>
      <c r="U27" s="3064">
        <v>0</v>
      </c>
    </row>
    <row r="28" spans="1:21" ht="17">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0</v>
      </c>
      <c r="K28" s="885">
        <f>SUMIF('AJE1'!$B:$B,$C28&amp;$D28&amp;"*",'AJE1'!$O:$O)</f>
        <v>0</v>
      </c>
      <c r="L28" s="885">
        <f>SUMIF('AJE1'!$B:$B,$C28&amp;$D28&amp;"*",'AJE1'!$P:$P)</f>
        <v>0</v>
      </c>
      <c r="M28" s="891">
        <f t="shared" si="6"/>
        <v>0</v>
      </c>
      <c r="N28" s="641"/>
      <c r="O28" s="641"/>
      <c r="P28" s="641"/>
      <c r="Q28" s="641"/>
      <c r="T28" s="3056">
        <v>1400</v>
      </c>
      <c r="U28" s="3064">
        <v>0</v>
      </c>
    </row>
    <row r="29" spans="1:21" ht="17">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6">
        <v>1315</v>
      </c>
      <c r="U29" s="3064">
        <v>0</v>
      </c>
    </row>
    <row r="30" spans="1:21" ht="17">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6">
        <v>1495</v>
      </c>
      <c r="U30" s="3064">
        <v>0</v>
      </c>
    </row>
    <row r="31" spans="1:21" ht="17">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6">
        <v>1496</v>
      </c>
      <c r="U31" s="3064">
        <v>480</v>
      </c>
    </row>
    <row r="32" spans="1:21" ht="17">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6">
        <v>1498</v>
      </c>
      <c r="U32" s="3064">
        <v>18285.68</v>
      </c>
    </row>
    <row r="33" spans="1:21" ht="17">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6">
        <v>1500</v>
      </c>
      <c r="U33" s="3064"/>
    </row>
    <row r="34" spans="1:21" ht="17">
      <c r="A34" s="1648">
        <f t="shared" si="0"/>
        <v>0</v>
      </c>
      <c r="B34" s="1647">
        <f t="shared" si="1"/>
        <v>1</v>
      </c>
      <c r="C34" s="1647" t="str">
        <f t="shared" si="2"/>
        <v>J</v>
      </c>
      <c r="D34" s="1659">
        <v>1496</v>
      </c>
      <c r="E34" s="888" t="str">
        <f t="shared" si="3"/>
        <v>其他流动资产</v>
      </c>
      <c r="F34" s="884">
        <f t="shared" si="4"/>
        <v>480</v>
      </c>
      <c r="G34" s="885">
        <f>SUMIF(AJE!$B:$B,$C34&amp;$D34&amp;"*",AJE!$O:$O)</f>
        <v>0</v>
      </c>
      <c r="H34" s="885">
        <f>SUMIF(AJE!$B:$B,$C34&amp;$D34&amp;"*",AJE!$P:$P)</f>
        <v>0</v>
      </c>
      <c r="I34" s="913">
        <f t="shared" si="7"/>
        <v>480</v>
      </c>
      <c r="J34" s="914">
        <f t="shared" si="5"/>
        <v>480</v>
      </c>
      <c r="K34" s="885">
        <f>SUMIF('AJE1'!$B:$B,$C34&amp;$D34&amp;"*",'AJE1'!$O:$O)</f>
        <v>0</v>
      </c>
      <c r="L34" s="885">
        <f>SUMIF('AJE1'!$B:$B,$C34&amp;$D34&amp;"*",'AJE1'!$P:$P)</f>
        <v>0</v>
      </c>
      <c r="M34" s="891">
        <f t="shared" si="6"/>
        <v>480</v>
      </c>
      <c r="N34" s="641"/>
      <c r="O34" s="641"/>
      <c r="P34" s="641"/>
      <c r="Q34" s="641"/>
      <c r="T34" s="3056">
        <v>1600</v>
      </c>
      <c r="U34" s="3064">
        <v>0</v>
      </c>
    </row>
    <row r="35" spans="1:21" ht="17">
      <c r="A35" s="1648" t="str">
        <f t="shared" si="0"/>
        <v>＝</v>
      </c>
      <c r="B35" s="1647">
        <f t="shared" si="1"/>
        <v>0</v>
      </c>
      <c r="C35" s="1647">
        <f t="shared" si="2"/>
        <v>0</v>
      </c>
      <c r="D35" s="1659">
        <v>1498</v>
      </c>
      <c r="E35" s="888" t="str">
        <f t="shared" si="3"/>
        <v>流动资产</v>
      </c>
      <c r="F35" s="884">
        <f>SUM(F11:F34)-SUM(F17,F26,F27,F28)</f>
        <v>15960.77</v>
      </c>
      <c r="G35" s="885">
        <f t="shared" ref="G35:M35" si="11">SUM(G11:G34)-SUM(G17,G26,G27,G28)</f>
        <v>0</v>
      </c>
      <c r="H35" s="885">
        <f t="shared" si="11"/>
        <v>0</v>
      </c>
      <c r="I35" s="913">
        <f t="shared" si="11"/>
        <v>15960.77</v>
      </c>
      <c r="J35" s="914">
        <f t="shared" si="11"/>
        <v>18285.68</v>
      </c>
      <c r="K35" s="885">
        <f t="shared" si="11"/>
        <v>0</v>
      </c>
      <c r="L35" s="885">
        <f t="shared" si="11"/>
        <v>0</v>
      </c>
      <c r="M35" s="891">
        <f t="shared" si="11"/>
        <v>18285.68</v>
      </c>
      <c r="N35" s="641"/>
      <c r="O35" s="641"/>
      <c r="P35" s="641"/>
      <c r="Q35" s="641"/>
      <c r="T35" s="3056">
        <v>1503</v>
      </c>
      <c r="U35" s="3064">
        <v>0</v>
      </c>
    </row>
    <row r="36" spans="1:21" ht="17">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6">
        <v>1501</v>
      </c>
      <c r="U36" s="3064">
        <v>0</v>
      </c>
    </row>
    <row r="37" spans="1:21" ht="17">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6">
        <v>1531</v>
      </c>
      <c r="U37" s="3064">
        <v>0</v>
      </c>
    </row>
    <row r="38" spans="1:21" ht="17">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6">
        <v>1515</v>
      </c>
      <c r="U38" s="3064">
        <v>0</v>
      </c>
    </row>
    <row r="39" spans="1:21" ht="17">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6">
        <v>1511</v>
      </c>
      <c r="U39" s="3064">
        <v>0</v>
      </c>
    </row>
    <row r="40" spans="1:21" ht="17">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6">
        <v>1521</v>
      </c>
      <c r="U40" s="3064">
        <v>0</v>
      </c>
    </row>
    <row r="41" spans="1:21" ht="17">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6">
        <v>1611</v>
      </c>
      <c r="U41" s="3064">
        <v>0</v>
      </c>
    </row>
    <row r="42" spans="1:21" ht="17">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6">
        <v>1601</v>
      </c>
      <c r="U42" s="3064">
        <v>0</v>
      </c>
    </row>
    <row r="43" spans="1:21" ht="17">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6">
        <v>1606</v>
      </c>
      <c r="U43" s="3064">
        <v>0</v>
      </c>
    </row>
    <row r="44" spans="1:21" ht="17">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6">
        <v>1616</v>
      </c>
      <c r="U44" s="3064">
        <v>0</v>
      </c>
    </row>
    <row r="45" spans="1:21" ht="17">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6">
        <v>1604</v>
      </c>
      <c r="U45" s="3064">
        <v>0</v>
      </c>
    </row>
    <row r="46" spans="1:21" ht="17">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6">
        <v>1605</v>
      </c>
      <c r="U46" s="3064">
        <v>0</v>
      </c>
    </row>
    <row r="47" spans="1:21" ht="17">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6">
        <v>1621</v>
      </c>
      <c r="U47" s="3064">
        <v>0</v>
      </c>
    </row>
    <row r="48" spans="1:21" ht="17">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0</v>
      </c>
      <c r="K48" s="885">
        <f>SUMIF('AJE1'!$B:$B,"J1601*",'AJE1'!$O:$O)+SUMIF('AJE1'!$B:$B,"J1606*",'AJE1'!$O:$O)</f>
        <v>0</v>
      </c>
      <c r="L48" s="885">
        <f>SUMIF('AJE1'!$B:$B,"J1601*",'AJE1'!$P:$P)+SUMIF('AJE1'!$B:$B,"J1606*",'AJE1'!$P:$P)</f>
        <v>0</v>
      </c>
      <c r="M48" s="891">
        <f t="shared" si="6"/>
        <v>0</v>
      </c>
      <c r="N48" s="641"/>
      <c r="O48" s="641"/>
      <c r="P48" s="641"/>
      <c r="Q48" s="641"/>
      <c r="T48" s="3056">
        <v>1631</v>
      </c>
      <c r="U48" s="3064">
        <v>0</v>
      </c>
    </row>
    <row r="49" spans="1:21" ht="17">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0</v>
      </c>
      <c r="K49" s="885">
        <f>SUMIF('AJE1'!$B:$B,$C49&amp;$D49&amp;"*",'AJE1'!$O:$O)</f>
        <v>0</v>
      </c>
      <c r="L49" s="885">
        <f>SUMIF('AJE1'!$B:$B,$C49&amp;$D49&amp;"*",'AJE1'!$P:$P)</f>
        <v>0</v>
      </c>
      <c r="M49" s="891">
        <f t="shared" si="6"/>
        <v>0</v>
      </c>
      <c r="N49" s="641"/>
      <c r="O49" s="641"/>
      <c r="P49" s="641"/>
      <c r="Q49" s="641"/>
      <c r="T49" s="3056">
        <v>1701</v>
      </c>
      <c r="U49" s="3064">
        <v>0</v>
      </c>
    </row>
    <row r="50" spans="1:21" ht="17">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6">
        <v>1700</v>
      </c>
      <c r="U50" s="3064">
        <v>0</v>
      </c>
    </row>
    <row r="51" spans="1:21" ht="17">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6">
        <v>1711</v>
      </c>
      <c r="U51" s="3064">
        <v>0</v>
      </c>
    </row>
    <row r="52" spans="1:21" ht="17">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6">
        <v>1801</v>
      </c>
      <c r="U52" s="3064">
        <v>0</v>
      </c>
    </row>
    <row r="53" spans="1:21" ht="17">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6">
        <v>1811</v>
      </c>
      <c r="U53" s="3064">
        <v>0</v>
      </c>
    </row>
    <row r="54" spans="1:21" ht="17">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6">
        <v>1996</v>
      </c>
      <c r="U54" s="3064">
        <v>0</v>
      </c>
    </row>
    <row r="55" spans="1:21" ht="17">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6">
        <v>1998</v>
      </c>
      <c r="U55" s="3064">
        <v>0</v>
      </c>
    </row>
    <row r="56" spans="1:21" ht="17">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6">
        <v>1999</v>
      </c>
      <c r="U56" s="3064">
        <v>18285.68</v>
      </c>
    </row>
    <row r="57" spans="1:21" ht="17">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6">
        <v>2000</v>
      </c>
      <c r="U57" s="3064">
        <v>0</v>
      </c>
    </row>
    <row r="58" spans="1:21" ht="17">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6">
        <v>2001</v>
      </c>
      <c r="U58" s="3064">
        <v>0</v>
      </c>
    </row>
    <row r="59" spans="1:21" ht="17">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6">
        <v>2004</v>
      </c>
      <c r="U59" s="3064">
        <v>0</v>
      </c>
    </row>
    <row r="60" spans="1:21" ht="17">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6">
        <v>2010</v>
      </c>
      <c r="U60" s="3064">
        <v>0</v>
      </c>
    </row>
    <row r="61" spans="1:21" ht="17">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c r="T61" s="3056">
        <v>2003</v>
      </c>
      <c r="U61" s="3064">
        <v>0</v>
      </c>
    </row>
    <row r="62" spans="1:21" ht="17">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6">
        <v>2101</v>
      </c>
      <c r="U62" s="3064">
        <v>0</v>
      </c>
    </row>
    <row r="63" spans="1:21" ht="17">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0</v>
      </c>
      <c r="K63" s="891">
        <f t="shared" si="17"/>
        <v>0</v>
      </c>
      <c r="L63" s="891">
        <f t="shared" si="17"/>
        <v>0</v>
      </c>
      <c r="M63" s="891">
        <f t="shared" si="17"/>
        <v>0</v>
      </c>
      <c r="N63" s="641"/>
      <c r="O63" s="641"/>
      <c r="P63" s="641"/>
      <c r="Q63" s="641"/>
      <c r="T63" s="3056">
        <v>2115</v>
      </c>
      <c r="U63" s="3064">
        <v>0</v>
      </c>
    </row>
    <row r="64" spans="1:21" ht="17">
      <c r="A64" s="1648" t="str">
        <f t="shared" si="0"/>
        <v>＝</v>
      </c>
      <c r="B64" s="1647">
        <f t="shared" si="1"/>
        <v>0</v>
      </c>
      <c r="C64" s="1647">
        <f t="shared" si="2"/>
        <v>0</v>
      </c>
      <c r="D64" s="1659">
        <v>1999</v>
      </c>
      <c r="E64" s="890" t="str">
        <f t="shared" si="3"/>
        <v>资产</v>
      </c>
      <c r="F64" s="891">
        <f t="shared" ref="F64:M64" si="18">SUM(F35,F63)</f>
        <v>15960.77</v>
      </c>
      <c r="G64" s="891">
        <f t="shared" si="18"/>
        <v>0</v>
      </c>
      <c r="H64" s="891">
        <f t="shared" si="18"/>
        <v>0</v>
      </c>
      <c r="I64" s="913">
        <f t="shared" si="18"/>
        <v>15960.77</v>
      </c>
      <c r="J64" s="915">
        <f t="shared" si="18"/>
        <v>18285.68</v>
      </c>
      <c r="K64" s="891">
        <f t="shared" si="18"/>
        <v>0</v>
      </c>
      <c r="L64" s="891">
        <f t="shared" si="18"/>
        <v>0</v>
      </c>
      <c r="M64" s="891">
        <f t="shared" si="18"/>
        <v>18285.68</v>
      </c>
      <c r="N64" s="641"/>
      <c r="O64" s="641"/>
      <c r="P64" s="641"/>
      <c r="Q64" s="641"/>
      <c r="T64" s="3056">
        <v>2203</v>
      </c>
      <c r="U64" s="3064">
        <v>0</v>
      </c>
    </row>
    <row r="65" spans="1:21" ht="17">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6">
        <v>2201</v>
      </c>
      <c r="U65" s="3064">
        <v>0</v>
      </c>
    </row>
    <row r="66" spans="1:21" ht="17">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6">
        <v>2202</v>
      </c>
      <c r="U66" s="3064">
        <v>0</v>
      </c>
    </row>
    <row r="67" spans="1:21" ht="17">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6">
        <v>2205</v>
      </c>
      <c r="U67" s="3064">
        <v>0</v>
      </c>
    </row>
    <row r="68" spans="1:21" ht="17">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6">
        <v>2111</v>
      </c>
      <c r="U68" s="3064">
        <v>0</v>
      </c>
    </row>
    <row r="69" spans="1:21" ht="17">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6">
        <v>2240</v>
      </c>
      <c r="U69" s="3064">
        <v>0</v>
      </c>
    </row>
    <row r="70" spans="1:21" ht="26">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6">
        <v>2211</v>
      </c>
      <c r="U70" s="3064">
        <v>0</v>
      </c>
    </row>
    <row r="71" spans="1:21" ht="17">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6">
        <v>2221</v>
      </c>
      <c r="U71" s="3064">
        <v>0</v>
      </c>
    </row>
    <row r="72" spans="1:21" ht="17">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0</v>
      </c>
      <c r="K72" s="885">
        <f>SUMIF('AJE1'!$B:$B,$C72&amp;$D72&amp;"*",'AJE1'!$O:$O)+SUMIF('AJE1'!$B:$B,"J2201*",'AJE1'!$O:$O)+SUMIF('AJE1'!$B:$B,"J2202*",'AJE1'!$O:$O)</f>
        <v>0</v>
      </c>
      <c r="L72" s="885">
        <f>SUMIF('AJE1'!$B:$B,$C72&amp;$D72&amp;"*",'AJE1'!$P:$P)+SUMIF('AJE1'!$B:$B,"J2201*",'AJE1'!$P:$P)+SUMIF('AJE1'!$B:$B,"J2202*",'AJE1'!$P:$P)</f>
        <v>0</v>
      </c>
      <c r="M72" s="891">
        <f t="shared" si="21"/>
        <v>0</v>
      </c>
      <c r="N72" s="641"/>
      <c r="O72" s="641"/>
      <c r="P72" s="641"/>
      <c r="Q72" s="641"/>
      <c r="T72" s="3056">
        <v>2246</v>
      </c>
      <c r="U72" s="3064">
        <v>20000</v>
      </c>
    </row>
    <row r="73" spans="1:21" ht="17">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6">
        <v>2231</v>
      </c>
      <c r="U73" s="3064">
        <v>0</v>
      </c>
    </row>
    <row r="74" spans="1:21" ht="17">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0</v>
      </c>
      <c r="K74" s="885">
        <f>SUMIF('AJE1'!$B:$B,$C74&amp;$D74&amp;"*",'AJE1'!$O:$O)</f>
        <v>0</v>
      </c>
      <c r="L74" s="885">
        <f>SUMIF('AJE1'!$B:$B,$C74&amp;$D74&amp;"*",'AJE1'!$P:$P)</f>
        <v>0</v>
      </c>
      <c r="M74" s="891">
        <f t="shared" si="21"/>
        <v>0</v>
      </c>
      <c r="N74" s="641"/>
      <c r="O74" s="641"/>
      <c r="P74" s="641"/>
      <c r="Q74" s="641"/>
      <c r="T74" s="3056">
        <v>2232</v>
      </c>
      <c r="U74" s="3064">
        <v>0</v>
      </c>
    </row>
    <row r="75" spans="1:21" ht="17">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56">
        <v>2241</v>
      </c>
      <c r="U75" s="3064">
        <v>20000</v>
      </c>
    </row>
    <row r="76" spans="1:21" ht="17">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6">
        <v>2261</v>
      </c>
      <c r="U76" s="3064">
        <v>0</v>
      </c>
    </row>
    <row r="77" spans="1:21" ht="17">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6">
        <v>2310</v>
      </c>
      <c r="U77" s="3064">
        <v>0</v>
      </c>
    </row>
    <row r="78" spans="1:21" ht="17">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6">
        <v>2311</v>
      </c>
      <c r="U78" s="3064">
        <v>0</v>
      </c>
    </row>
    <row r="79" spans="1:21" ht="17">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6">
        <v>2312</v>
      </c>
      <c r="U79" s="3064">
        <v>0</v>
      </c>
    </row>
    <row r="80" spans="1:21" ht="17">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6">
        <v>2315</v>
      </c>
      <c r="U80" s="3064">
        <v>0</v>
      </c>
    </row>
    <row r="81" spans="1:21" ht="17">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56">
        <v>2395</v>
      </c>
      <c r="U81" s="3064">
        <v>0</v>
      </c>
    </row>
    <row r="82" spans="1:21" ht="17">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0</v>
      </c>
      <c r="K82" s="885">
        <f>SUMIF('AJE1'!$B:$B,$C82&amp;$D82&amp;"*",'AJE1'!$O:$O)</f>
        <v>0</v>
      </c>
      <c r="L82" s="885">
        <f>SUMIF('AJE1'!$B:$B,$C82&amp;$D82&amp;"*",'AJE1'!$P:$P)</f>
        <v>0</v>
      </c>
      <c r="M82" s="891">
        <f t="shared" si="21"/>
        <v>0</v>
      </c>
      <c r="N82" s="641"/>
      <c r="O82" s="641"/>
      <c r="P82" s="641"/>
      <c r="Q82" s="641"/>
      <c r="T82" s="3056">
        <v>2396</v>
      </c>
      <c r="U82" s="3064">
        <v>0</v>
      </c>
    </row>
    <row r="83" spans="1:21" ht="17">
      <c r="A83" s="1648">
        <f>VLOOKUP($D83,Sheet_Items,4,0)</f>
        <v>0</v>
      </c>
      <c r="B83" s="1647">
        <f>VLOOKUP($D83,Sheet_Items,3,0)</f>
        <v>-1</v>
      </c>
      <c r="C83" s="1647">
        <f>VLOOKUP($D83,Sheet_Items,9,0)</f>
        <v>0</v>
      </c>
      <c r="D83" s="1659">
        <v>2246</v>
      </c>
      <c r="E83" s="888" t="str">
        <f>VLOOKUP($D83,Sheet_Items,2,0)</f>
        <v>其他应付款（报表项目）</v>
      </c>
      <c r="F83" s="884">
        <f t="shared" si="19"/>
        <v>20000</v>
      </c>
      <c r="G83" s="885">
        <f>SUMIF(AJE!$B:$B,"J2241*",AJE!$O:$O)+SUMIF(AJE!$B:$B,"J2231*",AJE!$O:$O)+SUMIF(AJE!$B:$B,"J2232*",AJE!$O:$O)</f>
        <v>0</v>
      </c>
      <c r="H83" s="885">
        <f>SUMIF(AJE!$B:$B,"J2241*",AJE!$P:$P)+SUMIF(AJE!$B:$B,"J2231*",AJE!$P:$P)+SUMIF(AJE!$B:$B,"J2232*",AJE!$P:$P)</f>
        <v>0</v>
      </c>
      <c r="I83" s="913">
        <f t="shared" si="22"/>
        <v>20000</v>
      </c>
      <c r="J83" s="914">
        <f t="shared" si="20"/>
        <v>20000</v>
      </c>
      <c r="K83" s="885">
        <f>SUMIF('AJE1'!$B:$B,"J2241*",'AJE1'!$O:$O)+SUMIF('AJE1'!$B:$B,"J2231*",'AJE1'!$O:$O)+SUMIF('AJE1'!$B:$B,"J2232*",'AJE1'!$O:$O)</f>
        <v>0</v>
      </c>
      <c r="L83" s="885">
        <f>SUMIF('AJE1'!$B:$B,"J2241*",'AJE1'!$P:$P)+SUMIF('AJE1'!$B:$B,"J2231*",'AJE1'!$P:$P)+SUMIF('AJE1'!$B:$B,"J2232*",'AJE1'!$P:$P)</f>
        <v>0</v>
      </c>
      <c r="M83" s="891">
        <f t="shared" si="21"/>
        <v>20000</v>
      </c>
      <c r="N83" s="641"/>
      <c r="O83" s="641"/>
      <c r="P83" s="641"/>
      <c r="Q83" s="641"/>
      <c r="T83" s="3056">
        <v>2498</v>
      </c>
      <c r="U83" s="3064">
        <v>20000</v>
      </c>
    </row>
    <row r="84" spans="1:21" ht="17">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6">
        <v>2500</v>
      </c>
      <c r="U84" s="3064"/>
    </row>
    <row r="85" spans="1:21" ht="17">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6">
        <v>2501</v>
      </c>
      <c r="U85" s="3064">
        <v>0</v>
      </c>
    </row>
    <row r="86" spans="1:21" ht="17">
      <c r="A86" s="1648">
        <f t="shared" si="0"/>
        <v>0</v>
      </c>
      <c r="B86" s="1647">
        <f t="shared" si="1"/>
        <v>-1</v>
      </c>
      <c r="C86" s="1647" t="str">
        <f t="shared" si="2"/>
        <v>J</v>
      </c>
      <c r="D86" s="1659">
        <v>2241</v>
      </c>
      <c r="E86" s="2188" t="str">
        <f t="shared" si="3"/>
        <v>其他应付款</v>
      </c>
      <c r="F86" s="884">
        <f t="shared" si="19"/>
        <v>20000</v>
      </c>
      <c r="G86" s="885">
        <f>SUMIF(AJE!$B:$B,$C86&amp;$D86&amp;"*",AJE!$O:$O)</f>
        <v>0</v>
      </c>
      <c r="H86" s="885">
        <f>SUMIF(AJE!$B:$B,$C86&amp;$D86&amp;"*",AJE!$P:$P)</f>
        <v>0</v>
      </c>
      <c r="I86" s="913">
        <f t="shared" si="22"/>
        <v>20000</v>
      </c>
      <c r="J86" s="914">
        <f t="shared" si="20"/>
        <v>20000</v>
      </c>
      <c r="K86" s="885">
        <f>SUMIF('AJE1'!$B:$B,$C86&amp;$D86&amp;"*",'AJE1'!$O:$O)</f>
        <v>0</v>
      </c>
      <c r="L86" s="885">
        <f>SUMIF('AJE1'!$B:$B,$C86&amp;$D86&amp;"*",'AJE1'!$P:$P)</f>
        <v>0</v>
      </c>
      <c r="M86" s="891">
        <f t="shared" si="21"/>
        <v>20000</v>
      </c>
      <c r="N86" s="641"/>
      <c r="O86" s="641"/>
      <c r="P86" s="641"/>
      <c r="Q86" s="641"/>
      <c r="T86" s="3056">
        <v>2502</v>
      </c>
      <c r="U86" s="3064">
        <v>0</v>
      </c>
    </row>
    <row r="87" spans="1:21" ht="17">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7">
        <v>2502.11</v>
      </c>
      <c r="U87" s="3064">
        <v>0</v>
      </c>
    </row>
    <row r="88" spans="1:21" ht="17">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7">
        <v>2502.31</v>
      </c>
      <c r="U88" s="3064">
        <v>0</v>
      </c>
    </row>
    <row r="89" spans="1:21" ht="17">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8">
        <v>2706</v>
      </c>
      <c r="U89" s="3064">
        <v>0</v>
      </c>
    </row>
    <row r="90" spans="1:21" ht="17">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6">
        <v>2701</v>
      </c>
      <c r="U90" s="3064">
        <v>0</v>
      </c>
    </row>
    <row r="91" spans="1:21" ht="17">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6">
        <v>2711</v>
      </c>
      <c r="U91" s="3064">
        <v>0</v>
      </c>
    </row>
    <row r="92" spans="1:21" ht="17">
      <c r="A92" s="1648" t="str">
        <f t="shared" si="0"/>
        <v>＝</v>
      </c>
      <c r="B92" s="1647">
        <f t="shared" si="1"/>
        <v>0</v>
      </c>
      <c r="C92" s="1647">
        <f t="shared" si="2"/>
        <v>0</v>
      </c>
      <c r="D92" s="2186">
        <v>2498</v>
      </c>
      <c r="E92" s="2187" t="str">
        <f t="shared" si="3"/>
        <v>流动负债</v>
      </c>
      <c r="F92" s="884">
        <f>SUM(F66:F91)-SUM(F72,F84,F85,F86)</f>
        <v>20000</v>
      </c>
      <c r="G92" s="885">
        <f t="shared" ref="G92:M92" si="25">SUM(G66:G91)-SUM(G72,G84,G85,G86)</f>
        <v>0</v>
      </c>
      <c r="H92" s="885">
        <f t="shared" si="25"/>
        <v>0</v>
      </c>
      <c r="I92" s="913">
        <f t="shared" si="25"/>
        <v>20000</v>
      </c>
      <c r="J92" s="914">
        <f t="shared" si="25"/>
        <v>20000</v>
      </c>
      <c r="K92" s="885">
        <f t="shared" si="25"/>
        <v>0</v>
      </c>
      <c r="L92" s="885">
        <f t="shared" si="25"/>
        <v>0</v>
      </c>
      <c r="M92" s="891">
        <f t="shared" si="25"/>
        <v>20000</v>
      </c>
      <c r="N92" s="641"/>
      <c r="O92" s="641"/>
      <c r="P92" s="641"/>
      <c r="Q92" s="641"/>
      <c r="T92" s="3056">
        <v>2715</v>
      </c>
      <c r="U92" s="3064">
        <v>0</v>
      </c>
    </row>
    <row r="93" spans="1:21" ht="17">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6">
        <v>2801</v>
      </c>
      <c r="U93" s="3064">
        <v>0</v>
      </c>
    </row>
    <row r="94" spans="1:21" ht="17">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6">
        <v>2401</v>
      </c>
      <c r="U94" s="3064">
        <v>0</v>
      </c>
    </row>
    <row r="95" spans="1:21" ht="17">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6">
        <v>2901</v>
      </c>
      <c r="U95" s="3064">
        <v>0</v>
      </c>
    </row>
    <row r="96" spans="1:21" ht="17">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6">
        <v>2996</v>
      </c>
      <c r="U96" s="3064">
        <v>0</v>
      </c>
    </row>
    <row r="97" spans="1:21" ht="17">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6">
        <v>2998</v>
      </c>
      <c r="U97" s="3064">
        <v>0</v>
      </c>
    </row>
    <row r="98" spans="1:21" ht="17">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6">
        <v>2999</v>
      </c>
      <c r="U98" s="3064">
        <v>20000</v>
      </c>
    </row>
    <row r="99" spans="1:21" ht="17">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6">
        <v>4000</v>
      </c>
      <c r="U99" s="3064"/>
    </row>
    <row r="100" spans="1:21" ht="17">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6">
        <v>4001</v>
      </c>
      <c r="U100" s="3064">
        <v>0</v>
      </c>
    </row>
    <row r="101" spans="1:21" ht="17">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6">
        <v>4015</v>
      </c>
      <c r="U101" s="3064">
        <v>0</v>
      </c>
    </row>
    <row r="102" spans="1:21" ht="17">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7">
        <v>4015.11</v>
      </c>
      <c r="U102" s="3064">
        <v>0</v>
      </c>
    </row>
    <row r="103" spans="1:21" ht="17">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7">
        <v>4015.31</v>
      </c>
      <c r="U103" s="3064">
        <v>0</v>
      </c>
    </row>
    <row r="104" spans="1:21" ht="17">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6">
        <v>4002</v>
      </c>
      <c r="U104" s="3064">
        <v>0</v>
      </c>
    </row>
    <row r="105" spans="1:21" ht="17">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6">
        <v>4201</v>
      </c>
      <c r="U105" s="3064">
        <v>0</v>
      </c>
    </row>
    <row r="106" spans="1:21" ht="17">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6">
        <v>4215</v>
      </c>
      <c r="U106" s="3064">
        <v>0</v>
      </c>
    </row>
    <row r="107" spans="1:21" ht="17">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6">
        <v>4301</v>
      </c>
      <c r="U107" s="3064">
        <v>0</v>
      </c>
    </row>
    <row r="108" spans="1:21" ht="17">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6">
        <v>4101</v>
      </c>
      <c r="U108" s="3064">
        <v>0</v>
      </c>
    </row>
    <row r="109" spans="1:21" ht="17">
      <c r="A109" s="1648" t="str">
        <f t="shared" si="26"/>
        <v>＝</v>
      </c>
      <c r="B109" s="1647">
        <f t="shared" si="27"/>
        <v>0</v>
      </c>
      <c r="C109" s="1647">
        <f t="shared" si="28"/>
        <v>0</v>
      </c>
      <c r="D109" s="2186">
        <v>2999</v>
      </c>
      <c r="E109" s="2187" t="str">
        <f t="shared" si="29"/>
        <v>负债</v>
      </c>
      <c r="F109" s="884">
        <f t="shared" ref="F109:M109" si="33">SUM(F92,F108)</f>
        <v>20000</v>
      </c>
      <c r="G109" s="885">
        <f t="shared" si="33"/>
        <v>0</v>
      </c>
      <c r="H109" s="885">
        <f t="shared" si="33"/>
        <v>0</v>
      </c>
      <c r="I109" s="913">
        <f t="shared" si="33"/>
        <v>20000</v>
      </c>
      <c r="J109" s="914">
        <f t="shared" si="33"/>
        <v>20000</v>
      </c>
      <c r="K109" s="885">
        <f t="shared" si="33"/>
        <v>0</v>
      </c>
      <c r="L109" s="885">
        <f t="shared" si="33"/>
        <v>0</v>
      </c>
      <c r="M109" s="891">
        <f t="shared" si="33"/>
        <v>20000</v>
      </c>
      <c r="N109" s="641"/>
      <c r="O109" s="641"/>
      <c r="P109" s="641"/>
      <c r="Q109" s="641"/>
      <c r="T109" s="3056">
        <v>4102</v>
      </c>
      <c r="U109" s="3064">
        <v>0</v>
      </c>
    </row>
    <row r="110" spans="1:21" ht="17">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6">
        <v>4200</v>
      </c>
      <c r="U110" s="3064">
        <v>-1714.32</v>
      </c>
    </row>
    <row r="111" spans="1:21" ht="17">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0</v>
      </c>
      <c r="K111" s="885">
        <f>SUMIF('AJE1'!$B:$B,$C111&amp;"81*",'AJE1'!$O:$O)</f>
        <v>0</v>
      </c>
      <c r="L111" s="885">
        <f>SUMIF('AJE1'!$B:$B,$C111&amp;"81*",'AJE1'!$P:$P)</f>
        <v>0</v>
      </c>
      <c r="M111" s="891">
        <f t="shared" si="21"/>
        <v>0</v>
      </c>
      <c r="N111" s="641"/>
      <c r="O111" s="641"/>
      <c r="P111" s="641"/>
      <c r="Q111" s="641"/>
      <c r="T111" s="3056">
        <v>4210</v>
      </c>
      <c r="U111" s="3065">
        <v>0</v>
      </c>
    </row>
    <row r="112" spans="1:21" ht="17">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6">
        <v>4298</v>
      </c>
      <c r="U112" s="3064">
        <v>-1714.32</v>
      </c>
    </row>
    <row r="113" spans="1:21" ht="17">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6">
        <v>4398</v>
      </c>
      <c r="U113" s="3064">
        <v>0</v>
      </c>
    </row>
    <row r="114" spans="1:21" ht="17">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6">
        <v>4999</v>
      </c>
      <c r="U114" s="3064">
        <v>-1714.32</v>
      </c>
    </row>
    <row r="115" spans="1:21" ht="17">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6">
        <v>5000</v>
      </c>
      <c r="U115" s="3064">
        <v>18285.68</v>
      </c>
    </row>
    <row r="116" spans="1:21" ht="17">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6">
        <v>6</v>
      </c>
      <c r="U116" s="3064"/>
    </row>
    <row r="117" spans="1:21" ht="17">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6">
        <v>6098</v>
      </c>
      <c r="U117" s="3064">
        <v>0</v>
      </c>
    </row>
    <row r="118" spans="1:21" ht="17">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6">
        <v>6001</v>
      </c>
      <c r="U118" s="3064">
        <v>0</v>
      </c>
    </row>
    <row r="119" spans="1:21" ht="17">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6">
        <v>6011</v>
      </c>
      <c r="U119" s="3064">
        <v>0</v>
      </c>
    </row>
    <row r="120" spans="1:21" ht="17">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6">
        <v>6030</v>
      </c>
      <c r="U120" s="3064">
        <v>0</v>
      </c>
    </row>
    <row r="121" spans="1:21" ht="17">
      <c r="A121" s="1648">
        <f t="shared" si="26"/>
        <v>0</v>
      </c>
      <c r="B121" s="1647">
        <f t="shared" si="27"/>
        <v>-1</v>
      </c>
      <c r="C121" s="1647" t="str">
        <f t="shared" si="28"/>
        <v>J</v>
      </c>
      <c r="D121" s="2186">
        <v>4200</v>
      </c>
      <c r="E121" s="2187" t="str">
        <f t="shared" si="29"/>
        <v>未分配利润</v>
      </c>
      <c r="F121" s="884">
        <f t="shared" si="19"/>
        <v>-4039.23</v>
      </c>
      <c r="G121" s="885">
        <f>SUMIF(AJE!$B:$B,$C121&amp;"87*",AJE!$O:$O)+VLOOKUP(6799,Sheet_Trialbal,4,0)</f>
        <v>0</v>
      </c>
      <c r="H121" s="885">
        <f>SUMIF(AJE!$B:$B,$C121&amp;"87*",AJE!$P:$P)+VLOOKUP(6799,Sheet_Trialbal,5,0)</f>
        <v>0</v>
      </c>
      <c r="I121" s="913">
        <f t="shared" si="34"/>
        <v>-4039.23</v>
      </c>
      <c r="J121" s="914">
        <f t="shared" si="20"/>
        <v>-1714.32</v>
      </c>
      <c r="K121" s="885">
        <f>SUMIF('AJE1'!$B:$B,$C121&amp;"87*",'AJE1'!$O:$O)+VLOOKUP(6799,Sheet_Trialbal,8,0)</f>
        <v>0</v>
      </c>
      <c r="L121" s="885">
        <f>SUMIF('AJE1'!$B:$B,$C121&amp;"87*",'AJE1'!$P:$P)+VLOOKUP(6799,Sheet_Trialbal,9,0)</f>
        <v>0</v>
      </c>
      <c r="M121" s="891">
        <f t="shared" si="21"/>
        <v>-1714.32</v>
      </c>
      <c r="N121" s="641"/>
      <c r="O121" s="641"/>
      <c r="P121" s="641"/>
      <c r="Q121" s="641"/>
      <c r="T121" s="3056">
        <v>6021</v>
      </c>
      <c r="U121" s="3064">
        <v>0</v>
      </c>
    </row>
    <row r="122" spans="1:21" ht="17">
      <c r="A122" s="1648" t="str">
        <f t="shared" si="26"/>
        <v>※</v>
      </c>
      <c r="B122" s="1647">
        <f t="shared" si="27"/>
        <v>0</v>
      </c>
      <c r="C122" s="1647">
        <f t="shared" si="28"/>
        <v>0</v>
      </c>
      <c r="D122" s="1659">
        <v>4298</v>
      </c>
      <c r="E122" s="888" t="str">
        <f t="shared" si="29"/>
        <v>归属于母公司所有者权益</v>
      </c>
      <c r="F122" s="884">
        <f>SUM(F111:F112,F115,-F116,F117:F121)</f>
        <v>-4039.23</v>
      </c>
      <c r="G122" s="919">
        <f>SUM(G111:G112,G115:G121)</f>
        <v>0</v>
      </c>
      <c r="H122" s="919">
        <f>SUM(H111:H112,H115:H121)</f>
        <v>0</v>
      </c>
      <c r="I122" s="913">
        <f>SUM(I111:I112,I115,-I116,I117:I121)</f>
        <v>-4039.23</v>
      </c>
      <c r="J122" s="914">
        <f>SUM(J111:J112,J115,-J116,J117:J121)</f>
        <v>-1714.32</v>
      </c>
      <c r="K122" s="919">
        <f>SUM(K111:K112,K115:K121)</f>
        <v>0</v>
      </c>
      <c r="L122" s="919">
        <f>SUM(L111:L112,L115:L121)</f>
        <v>0</v>
      </c>
      <c r="M122" s="891">
        <f>SUM(M111:M112,M115,-M116,M117:M121)</f>
        <v>-1714.32</v>
      </c>
      <c r="N122" s="641"/>
      <c r="O122" s="641"/>
      <c r="P122" s="641"/>
      <c r="Q122" s="641"/>
      <c r="T122" s="3056">
        <v>6598</v>
      </c>
      <c r="U122" s="3064">
        <v>1714.32</v>
      </c>
    </row>
    <row r="123" spans="1:21" ht="17">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6">
        <v>6401</v>
      </c>
      <c r="U123" s="3064">
        <v>0</v>
      </c>
    </row>
    <row r="124" spans="1:21" ht="17">
      <c r="A124" s="1648" t="str">
        <f t="shared" si="26"/>
        <v>＝</v>
      </c>
      <c r="B124" s="1647">
        <f t="shared" si="27"/>
        <v>0</v>
      </c>
      <c r="C124" s="1647">
        <f t="shared" si="28"/>
        <v>0</v>
      </c>
      <c r="D124" s="2186">
        <v>4999</v>
      </c>
      <c r="E124" s="2187" t="str">
        <f t="shared" si="29"/>
        <v>所有者权益</v>
      </c>
      <c r="F124" s="884">
        <f t="shared" ref="F124:M124" si="35">SUM(F122:F123)</f>
        <v>-4039.23</v>
      </c>
      <c r="G124" s="885">
        <f t="shared" si="35"/>
        <v>0</v>
      </c>
      <c r="H124" s="885">
        <f t="shared" si="35"/>
        <v>0</v>
      </c>
      <c r="I124" s="913">
        <f t="shared" si="35"/>
        <v>-4039.23</v>
      </c>
      <c r="J124" s="914">
        <f t="shared" si="35"/>
        <v>-1714.32</v>
      </c>
      <c r="K124" s="885">
        <f t="shared" si="35"/>
        <v>0</v>
      </c>
      <c r="L124" s="885">
        <f t="shared" si="35"/>
        <v>0</v>
      </c>
      <c r="M124" s="891">
        <f t="shared" si="35"/>
        <v>-1714.32</v>
      </c>
      <c r="N124" s="641"/>
      <c r="O124" s="641"/>
      <c r="P124" s="641"/>
      <c r="Q124" s="641"/>
      <c r="T124" s="3056">
        <v>6411</v>
      </c>
      <c r="U124" s="3064">
        <v>0</v>
      </c>
    </row>
    <row r="125" spans="1:21" ht="17">
      <c r="A125" s="1648" t="str">
        <f t="shared" si="26"/>
        <v>＝</v>
      </c>
      <c r="B125" s="1647">
        <f t="shared" si="27"/>
        <v>0</v>
      </c>
      <c r="C125" s="1647">
        <f t="shared" si="28"/>
        <v>0</v>
      </c>
      <c r="D125" s="2186">
        <v>5000</v>
      </c>
      <c r="E125" s="2187" t="str">
        <f t="shared" si="29"/>
        <v>负债和所有者权益</v>
      </c>
      <c r="F125" s="884">
        <f t="shared" ref="F125:M125" si="36">SUM(F109,F124)</f>
        <v>15960.77</v>
      </c>
      <c r="G125" s="885">
        <f t="shared" si="36"/>
        <v>0</v>
      </c>
      <c r="H125" s="885">
        <f t="shared" si="36"/>
        <v>0</v>
      </c>
      <c r="I125" s="913">
        <f t="shared" si="36"/>
        <v>15960.77</v>
      </c>
      <c r="J125" s="914">
        <f t="shared" si="36"/>
        <v>18285.68</v>
      </c>
      <c r="K125" s="885">
        <f t="shared" si="36"/>
        <v>0</v>
      </c>
      <c r="L125" s="885">
        <f t="shared" si="36"/>
        <v>0</v>
      </c>
      <c r="M125" s="891">
        <f t="shared" si="36"/>
        <v>18285.68</v>
      </c>
      <c r="N125" s="641"/>
      <c r="O125" s="641"/>
      <c r="P125" s="641"/>
      <c r="Q125" s="641"/>
      <c r="T125" s="3056">
        <v>6421</v>
      </c>
      <c r="U125" s="3064">
        <v>0</v>
      </c>
    </row>
    <row r="126" spans="1:21" ht="17">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6">
        <v>6531</v>
      </c>
      <c r="U126" s="3064">
        <v>0</v>
      </c>
    </row>
    <row r="127" spans="1:21" ht="17">
      <c r="A127" s="1648" t="str">
        <f t="shared" si="26"/>
        <v>※</v>
      </c>
      <c r="B127" s="1647">
        <f t="shared" si="27"/>
        <v>0</v>
      </c>
      <c r="C127" s="1647">
        <f t="shared" si="28"/>
        <v>0</v>
      </c>
      <c r="D127" s="2186">
        <v>6098</v>
      </c>
      <c r="E127" s="2187" t="str">
        <f t="shared" si="29"/>
        <v>营业总收入</v>
      </c>
      <c r="F127" s="884">
        <f t="shared" ref="F127:M127" si="37">SUM(F128:F131)</f>
        <v>0</v>
      </c>
      <c r="G127" s="885">
        <f t="shared" si="37"/>
        <v>0</v>
      </c>
      <c r="H127" s="885">
        <f t="shared" si="37"/>
        <v>0</v>
      </c>
      <c r="I127" s="913">
        <f t="shared" si="37"/>
        <v>0</v>
      </c>
      <c r="J127" s="914">
        <f t="shared" si="37"/>
        <v>0</v>
      </c>
      <c r="K127" s="885">
        <f t="shared" si="37"/>
        <v>0</v>
      </c>
      <c r="L127" s="885">
        <f t="shared" si="37"/>
        <v>0</v>
      </c>
      <c r="M127" s="891">
        <f t="shared" si="37"/>
        <v>0</v>
      </c>
      <c r="N127" s="641"/>
      <c r="O127" s="641"/>
      <c r="P127" s="641"/>
      <c r="Q127" s="641"/>
      <c r="T127" s="3056">
        <v>6510</v>
      </c>
      <c r="U127" s="3064">
        <v>0</v>
      </c>
    </row>
    <row r="128" spans="1:21" ht="17">
      <c r="A128" s="1648">
        <f t="shared" si="26"/>
        <v>0</v>
      </c>
      <c r="B128" s="1647">
        <f t="shared" si="27"/>
        <v>-1</v>
      </c>
      <c r="C128" s="1647" t="str">
        <f t="shared" si="28"/>
        <v>J</v>
      </c>
      <c r="D128" s="1659">
        <v>6001</v>
      </c>
      <c r="E128" s="888" t="str">
        <f t="shared" si="29"/>
        <v>营业收入</v>
      </c>
      <c r="F128" s="884">
        <f>VLOOKUP($D128,Sheet_Preis,4,0)</f>
        <v>0</v>
      </c>
      <c r="G128" s="885">
        <f>SUMIF(AJE!$B:$B,$C128&amp;$D128&amp;"*",AJE!$O:$O)</f>
        <v>0</v>
      </c>
      <c r="H128" s="885">
        <f>SUMIF(AJE!$B:$B,$C128&amp;$D128&amp;"*",AJE!$P:$P)</f>
        <v>0</v>
      </c>
      <c r="I128" s="913">
        <f t="shared" ref="I128:I169" si="38">(B128*F128+G128-H128)*B128</f>
        <v>0</v>
      </c>
      <c r="J128" s="914">
        <f>VLOOKUP($D128,Sheet_Preis,5,0)</f>
        <v>0</v>
      </c>
      <c r="K128" s="885">
        <f>SUMIF('AJE1'!$B:$B,$C128&amp;$D128&amp;"*",'AJE1'!$O:$O)</f>
        <v>0</v>
      </c>
      <c r="L128" s="885">
        <f>SUMIF('AJE1'!$B:$B,$C128&amp;$D128&amp;"*",'AJE1'!$P:$P)</f>
        <v>0</v>
      </c>
      <c r="M128" s="891">
        <f t="shared" ref="M128:M169" si="39">($B128*J128+K128-L128)*$B128</f>
        <v>0</v>
      </c>
      <c r="N128" s="641"/>
      <c r="O128" s="641"/>
      <c r="P128" s="641"/>
      <c r="Q128" s="641"/>
      <c r="T128" s="3056">
        <v>6505</v>
      </c>
      <c r="U128" s="3064">
        <v>0</v>
      </c>
    </row>
    <row r="129" spans="1:21" ht="17">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6">
        <v>6521</v>
      </c>
      <c r="U129" s="3064">
        <v>0</v>
      </c>
    </row>
    <row r="130" spans="1:21" ht="17">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6">
        <v>6542</v>
      </c>
      <c r="U130" s="3064">
        <v>0</v>
      </c>
    </row>
    <row r="131" spans="1:21" ht="17">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6">
        <v>6600</v>
      </c>
      <c r="U131" s="3064">
        <v>0</v>
      </c>
    </row>
    <row r="132" spans="1:21" ht="17">
      <c r="A132" s="1648" t="str">
        <f t="shared" si="26"/>
        <v>※</v>
      </c>
      <c r="B132" s="1647">
        <f t="shared" si="27"/>
        <v>0</v>
      </c>
      <c r="C132" s="1647">
        <f t="shared" si="28"/>
        <v>0</v>
      </c>
      <c r="D132" s="2186">
        <v>6598</v>
      </c>
      <c r="E132" s="2187" t="str">
        <f t="shared" si="29"/>
        <v>营业总成本</v>
      </c>
      <c r="F132" s="884">
        <f>SUM(F133:F145)</f>
        <v>2324.91</v>
      </c>
      <c r="G132" s="885">
        <f>SUM(G133:G145)</f>
        <v>0</v>
      </c>
      <c r="H132" s="885">
        <f t="shared" ref="H132:M132" si="40">SUM(H133:H145)</f>
        <v>0</v>
      </c>
      <c r="I132" s="913">
        <f t="shared" si="40"/>
        <v>2324.91</v>
      </c>
      <c r="J132" s="914">
        <f t="shared" si="40"/>
        <v>1714.32</v>
      </c>
      <c r="K132" s="885">
        <f t="shared" si="40"/>
        <v>0</v>
      </c>
      <c r="L132" s="885">
        <f t="shared" si="40"/>
        <v>0</v>
      </c>
      <c r="M132" s="891">
        <f t="shared" si="40"/>
        <v>1714.32</v>
      </c>
      <c r="N132" s="641"/>
      <c r="O132" s="641"/>
      <c r="P132" s="641"/>
      <c r="Q132" s="641"/>
      <c r="T132" s="3056">
        <v>6601</v>
      </c>
      <c r="U132" s="3064">
        <v>0</v>
      </c>
    </row>
    <row r="133" spans="1:21" ht="17">
      <c r="A133" s="1648">
        <f t="shared" si="26"/>
        <v>0</v>
      </c>
      <c r="B133" s="1647">
        <f t="shared" si="27"/>
        <v>1</v>
      </c>
      <c r="C133" s="1647" t="str">
        <f t="shared" si="28"/>
        <v>J</v>
      </c>
      <c r="D133" s="1659">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c r="T133" s="3056">
        <v>6602</v>
      </c>
      <c r="U133" s="3064">
        <v>580</v>
      </c>
    </row>
    <row r="134" spans="1:21" ht="17">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6">
        <v>6606</v>
      </c>
      <c r="U134" s="3064">
        <v>0</v>
      </c>
    </row>
    <row r="135" spans="1:21" ht="17">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6">
        <v>6603</v>
      </c>
      <c r="U135" s="3064">
        <v>1134.32</v>
      </c>
    </row>
    <row r="136" spans="1:21" ht="17">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6" t="s">
        <v>803</v>
      </c>
      <c r="U136" s="3064">
        <v>0</v>
      </c>
    </row>
    <row r="137" spans="1:21" ht="17">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6" t="s">
        <v>810</v>
      </c>
      <c r="U137" s="3064">
        <v>0</v>
      </c>
    </row>
    <row r="138" spans="1:21" ht="17">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6">
        <v>6671</v>
      </c>
      <c r="U138" s="3064">
        <v>0</v>
      </c>
    </row>
    <row r="139" spans="1:21" ht="17">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6">
        <v>6181</v>
      </c>
      <c r="U139" s="3064">
        <v>0</v>
      </c>
    </row>
    <row r="140" spans="1:21" ht="17">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6">
        <v>6111</v>
      </c>
      <c r="U140" s="3064">
        <v>0</v>
      </c>
    </row>
    <row r="141" spans="1:21" ht="17">
      <c r="A141" s="1648">
        <f t="shared" si="26"/>
        <v>0</v>
      </c>
      <c r="B141" s="1647">
        <f t="shared" si="27"/>
        <v>1</v>
      </c>
      <c r="C141" s="1647" t="str">
        <f t="shared" si="28"/>
        <v>J</v>
      </c>
      <c r="D141" s="1659">
        <v>6600</v>
      </c>
      <c r="E141" s="888" t="str">
        <f t="shared" si="29"/>
        <v>税金及附加</v>
      </c>
      <c r="F141" s="884">
        <f t="shared" si="41"/>
        <v>0</v>
      </c>
      <c r="G141" s="885">
        <f>SUMIF(AJE!$B:$B,$C141&amp;$D141&amp;"*",AJE!$O:$O)</f>
        <v>0</v>
      </c>
      <c r="H141" s="885">
        <f>SUMIF(AJE!$B:$B,$C141&amp;$D141&amp;"*",AJE!$P:$P)</f>
        <v>0</v>
      </c>
      <c r="I141" s="913">
        <f t="shared" si="38"/>
        <v>0</v>
      </c>
      <c r="J141" s="914">
        <f t="shared" si="42"/>
        <v>0</v>
      </c>
      <c r="K141" s="885">
        <f>SUMIF('AJE1'!$B:$B,$C141&amp;$D141&amp;"*",'AJE1'!$O:$O)</f>
        <v>0</v>
      </c>
      <c r="L141" s="885">
        <f>SUMIF('AJE1'!$B:$B,$C141&amp;$D141&amp;"*",'AJE1'!$P:$P)</f>
        <v>0</v>
      </c>
      <c r="M141" s="891">
        <f t="shared" si="39"/>
        <v>0</v>
      </c>
      <c r="N141" s="641"/>
      <c r="O141" s="641"/>
      <c r="P141" s="641"/>
      <c r="Q141" s="641"/>
      <c r="T141" s="3057">
        <v>6111.01</v>
      </c>
      <c r="U141" s="3064">
        <v>0</v>
      </c>
    </row>
    <row r="142" spans="1:21" ht="17">
      <c r="A142" s="1648">
        <f t="shared" si="26"/>
        <v>0</v>
      </c>
      <c r="B142" s="1647">
        <f t="shared" si="27"/>
        <v>1</v>
      </c>
      <c r="C142" s="1647" t="str">
        <f t="shared" si="28"/>
        <v>J</v>
      </c>
      <c r="D142" s="1659">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6">
        <v>6161</v>
      </c>
      <c r="U142" s="3064">
        <v>0</v>
      </c>
    </row>
    <row r="143" spans="1:21" ht="17">
      <c r="A143" s="1648">
        <f t="shared" si="26"/>
        <v>0</v>
      </c>
      <c r="B143" s="1647">
        <f t="shared" si="27"/>
        <v>1</v>
      </c>
      <c r="C143" s="1647" t="str">
        <f t="shared" si="28"/>
        <v>J</v>
      </c>
      <c r="D143" s="1659">
        <v>6602</v>
      </c>
      <c r="E143" s="888" t="str">
        <f t="shared" si="29"/>
        <v>管理费用</v>
      </c>
      <c r="F143" s="884">
        <f t="shared" si="41"/>
        <v>1000</v>
      </c>
      <c r="G143" s="885">
        <f>SUMIF(AJE!$B:$B,$C143&amp;$D143&amp;"*",AJE!$O:$O)</f>
        <v>0</v>
      </c>
      <c r="H143" s="885">
        <f>SUMIF(AJE!$B:$B,$C143&amp;$D143&amp;"*",AJE!$P:$P)</f>
        <v>0</v>
      </c>
      <c r="I143" s="913">
        <f t="shared" si="38"/>
        <v>1000</v>
      </c>
      <c r="J143" s="914">
        <f t="shared" si="42"/>
        <v>580</v>
      </c>
      <c r="K143" s="885">
        <f>SUMIF('AJE1'!$B:$B,$C143&amp;$D143&amp;"*",'AJE1'!$O:$O)</f>
        <v>0</v>
      </c>
      <c r="L143" s="885">
        <f>SUMIF('AJE1'!$B:$B,$C143&amp;$D143&amp;"*",'AJE1'!$P:$P)</f>
        <v>0</v>
      </c>
      <c r="M143" s="891">
        <f t="shared" si="39"/>
        <v>580</v>
      </c>
      <c r="N143" s="641"/>
      <c r="O143" s="641"/>
      <c r="P143" s="641"/>
      <c r="Q143" s="641"/>
      <c r="T143" s="3056">
        <v>6101</v>
      </c>
      <c r="U143" s="3064">
        <v>0</v>
      </c>
    </row>
    <row r="144" spans="1:21" ht="17">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6">
        <v>6171</v>
      </c>
      <c r="U144" s="3064">
        <v>0</v>
      </c>
    </row>
    <row r="145" spans="1:21" ht="17">
      <c r="A145" s="1648">
        <f t="shared" si="26"/>
        <v>0</v>
      </c>
      <c r="B145" s="1647">
        <f t="shared" si="27"/>
        <v>1</v>
      </c>
      <c r="C145" s="1647" t="str">
        <f t="shared" si="28"/>
        <v>J</v>
      </c>
      <c r="D145" s="1659">
        <v>6603</v>
      </c>
      <c r="E145" s="888" t="str">
        <f t="shared" si="29"/>
        <v>财务费用</v>
      </c>
      <c r="F145" s="884">
        <f t="shared" si="41"/>
        <v>1324.91</v>
      </c>
      <c r="G145" s="885">
        <f>SUMIF(AJE!$B:$B,$C145&amp;$D145&amp;"*",AJE!$O:$O)</f>
        <v>0</v>
      </c>
      <c r="H145" s="885">
        <f>SUMIF(AJE!$B:$B,$C145&amp;$D145&amp;"*",AJE!$P:$P)</f>
        <v>0</v>
      </c>
      <c r="I145" s="913">
        <f t="shared" si="38"/>
        <v>1324.91</v>
      </c>
      <c r="J145" s="914">
        <f t="shared" si="42"/>
        <v>1134.32</v>
      </c>
      <c r="K145" s="885">
        <f>SUMIF('AJE1'!$B:$B,$C145&amp;$D145&amp;"*",'AJE1'!$O:$O)</f>
        <v>0</v>
      </c>
      <c r="L145" s="885">
        <f>SUMIF('AJE1'!$B:$B,$C145&amp;$D145&amp;"*",'AJE1'!$P:$P)</f>
        <v>0</v>
      </c>
      <c r="M145" s="891">
        <f t="shared" si="39"/>
        <v>1134.32</v>
      </c>
      <c r="N145" s="641"/>
      <c r="O145" s="641"/>
      <c r="P145" s="641"/>
      <c r="Q145" s="641"/>
      <c r="T145" s="3056">
        <v>6689</v>
      </c>
      <c r="U145" s="3064">
        <v>-1714.32</v>
      </c>
    </row>
    <row r="146" spans="1:21" ht="17">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6">
        <v>6710</v>
      </c>
      <c r="U146" s="3064">
        <v>0</v>
      </c>
    </row>
    <row r="147" spans="1:21" ht="17">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50.09</v>
      </c>
      <c r="G147" s="885">
        <f>SUMIF(AJE!$B:$B,$C147&amp;$D147&amp;"*",AJE!$O:$O)</f>
        <v>0</v>
      </c>
      <c r="H147" s="885">
        <f>SUMIF(AJE!$B:$B,$C147&amp;$D147&amp;"*",AJE!$P:$P)</f>
        <v>0</v>
      </c>
      <c r="I147" s="913">
        <f t="shared" si="38"/>
        <v>50.09</v>
      </c>
      <c r="J147" s="914">
        <f>VLOOKUP($D147,Sheet_Preis,5,0)</f>
        <v>33.44</v>
      </c>
      <c r="K147" s="885">
        <f>SUMIF('AJE1'!$B:$B,$C147&amp;$D147&amp;"*",'AJE1'!$O:$O)</f>
        <v>0</v>
      </c>
      <c r="L147" s="885">
        <f>SUMIF('AJE1'!$B:$B,$C147&amp;$D147&amp;"*",'AJE1'!$P:$P)</f>
        <v>0</v>
      </c>
      <c r="M147" s="891">
        <f t="shared" si="39"/>
        <v>33.44</v>
      </c>
      <c r="N147" s="641"/>
      <c r="O147" s="641"/>
      <c r="P147" s="641"/>
      <c r="Q147" s="641"/>
      <c r="T147" s="3056">
        <v>6711</v>
      </c>
      <c r="U147" s="3064">
        <v>0</v>
      </c>
    </row>
    <row r="148" spans="1:21" ht="17">
      <c r="A148" s="1648">
        <f>VLOOKUP($D148,Sheet_Items,4,0)</f>
        <v>0</v>
      </c>
      <c r="B148" s="1647">
        <f>VLOOKUP($D148,Sheet_Items,3,0)</f>
        <v>-1</v>
      </c>
      <c r="C148" s="1647" t="str">
        <f>VLOOKUP($D148,Sheet_Items,9,0)</f>
        <v>J</v>
      </c>
      <c r="D148" s="1659">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c r="T148" s="3056">
        <v>6788</v>
      </c>
      <c r="U148" s="3064">
        <v>-1714.32</v>
      </c>
    </row>
    <row r="149" spans="1:21" ht="17">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6">
        <v>6791</v>
      </c>
      <c r="U149" s="3064">
        <v>0</v>
      </c>
    </row>
    <row r="150" spans="1:21" ht="26">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6">
        <v>6799</v>
      </c>
      <c r="U150" s="3064">
        <v>-1714.32</v>
      </c>
    </row>
    <row r="151" spans="1:21" ht="26">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6">
        <v>6835</v>
      </c>
      <c r="U151" s="3065"/>
    </row>
    <row r="152" spans="1:21" ht="17">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6">
        <v>6816</v>
      </c>
      <c r="U152" s="3065"/>
    </row>
    <row r="153" spans="1:21" ht="17">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6">
        <v>6817</v>
      </c>
      <c r="U153" s="3065"/>
    </row>
    <row r="154" spans="1:21" ht="17">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6">
        <v>6830</v>
      </c>
      <c r="U154" s="3064"/>
    </row>
    <row r="155" spans="1:21" ht="17">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0</v>
      </c>
      <c r="H155" s="885">
        <f>SUMIF(AJE!$B:$B,$C155&amp;$D155&amp;"*",AJE!$P:$P)</f>
        <v>0</v>
      </c>
      <c r="I155" s="913">
        <f t="shared" ref="I155:I157" si="47">(B155*F155+G155-H155)*B155</f>
        <v>0</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6">
        <v>6812</v>
      </c>
      <c r="U155" s="3064">
        <v>0</v>
      </c>
    </row>
    <row r="156" spans="1:21" ht="17">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0</v>
      </c>
      <c r="K156" s="885">
        <f>SUMIF('AJE1'!$B:$B,$C156&amp;$D156&amp;"*",'AJE1'!$O:$O)</f>
        <v>0</v>
      </c>
      <c r="L156" s="885">
        <f>SUMIF('AJE1'!$B:$B,$C156&amp;$D156&amp;"*",'AJE1'!$P:$P)</f>
        <v>0</v>
      </c>
      <c r="M156" s="891">
        <f t="shared" si="48"/>
        <v>0</v>
      </c>
      <c r="N156" s="641"/>
      <c r="O156" s="641"/>
      <c r="P156" s="641"/>
      <c r="Q156" s="641"/>
      <c r="T156" s="3056">
        <v>6811</v>
      </c>
      <c r="U156" s="3064">
        <v>-1714.32</v>
      </c>
    </row>
    <row r="157" spans="1:21" ht="17">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6">
        <v>6829</v>
      </c>
      <c r="U157" s="3064">
        <v>0</v>
      </c>
    </row>
    <row r="158" spans="1:21" ht="17">
      <c r="A158" s="1648" t="str">
        <f t="shared" si="26"/>
        <v>＝</v>
      </c>
      <c r="B158" s="1647">
        <f t="shared" si="27"/>
        <v>0</v>
      </c>
      <c r="C158" s="1647">
        <f t="shared" si="28"/>
        <v>0</v>
      </c>
      <c r="D158" s="2186">
        <v>6689</v>
      </c>
      <c r="E158" s="2187" t="str">
        <f t="shared" si="29"/>
        <v>营业利润</v>
      </c>
      <c r="F158" s="884">
        <f>SUM(F128:F131)-SUM(F133:F145)+SUM(F148:F157)-SUM(F150,F151)</f>
        <v>-2324.91</v>
      </c>
      <c r="G158" s="919">
        <f>SUM(G128:G131)+SUM(G133:G145)+SUM(G148:G157)-SUM(G150,G151)</f>
        <v>0</v>
      </c>
      <c r="H158" s="919">
        <f>SUM(H128:H131)+SUM(H133:H145)+SUM(H148:H157)-SUM(H150,H151)</f>
        <v>0</v>
      </c>
      <c r="I158" s="913">
        <f>SUM(I128:I131)-SUM(I133:I145)+SUM(I148:I157)-SUM(I150,I151)</f>
        <v>-2324.91</v>
      </c>
      <c r="J158" s="914">
        <f>SUM(J128:J131)-SUM(J133:J145)+SUM(J148:J157)-SUM(J150,J151)</f>
        <v>-1714.32</v>
      </c>
      <c r="K158" s="919">
        <f>SUM(K128:K131)+SUM(K133:K145)+SUM(K148:K157)-SUM(K150,K151)</f>
        <v>0</v>
      </c>
      <c r="L158" s="919">
        <f>SUM(L128:L131)+SUM(L133:L145)+SUM(L148:L157)-SUM(L150,L151)</f>
        <v>0</v>
      </c>
      <c r="M158" s="891">
        <f>SUM(M128:M131)-SUM(M133:M145)+SUM(M148:M157)-SUM(M150,M151)</f>
        <v>-1714.32</v>
      </c>
      <c r="N158" s="641"/>
      <c r="O158" s="641"/>
      <c r="P158" s="641"/>
      <c r="Q158" s="641"/>
      <c r="T158" s="3059">
        <v>6829.2</v>
      </c>
      <c r="U158" s="3064">
        <v>0</v>
      </c>
    </row>
    <row r="159" spans="1:21" ht="17">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7">
        <v>6829.21</v>
      </c>
      <c r="U159" s="3064">
        <v>0</v>
      </c>
    </row>
    <row r="160" spans="1:21" ht="17">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60">
        <v>6829.2110000000002</v>
      </c>
      <c r="U160" s="3064">
        <v>0</v>
      </c>
    </row>
    <row r="161" spans="1:21" ht="17">
      <c r="A161" s="1648" t="str">
        <f t="shared" si="26"/>
        <v>＝</v>
      </c>
      <c r="B161" s="1647">
        <f t="shared" si="27"/>
        <v>0</v>
      </c>
      <c r="C161" s="1647">
        <f t="shared" si="28"/>
        <v>0</v>
      </c>
      <c r="D161" s="1659">
        <v>6788</v>
      </c>
      <c r="E161" s="888" t="str">
        <f t="shared" si="29"/>
        <v>利润总额</v>
      </c>
      <c r="F161" s="884">
        <f>SUM(F158,F159,-F160)</f>
        <v>-2324.91</v>
      </c>
      <c r="G161" s="919">
        <f>SUM(G158,G159,G160)</f>
        <v>0</v>
      </c>
      <c r="H161" s="919">
        <f>SUM(H158,H159,H160)</f>
        <v>0</v>
      </c>
      <c r="I161" s="913">
        <f>SUM(I158,I159,-I160)</f>
        <v>-2324.91</v>
      </c>
      <c r="J161" s="914">
        <f>SUM(J158,J159,-J160)</f>
        <v>-1714.32</v>
      </c>
      <c r="K161" s="919">
        <f>SUM(K158,K159,K160)</f>
        <v>0</v>
      </c>
      <c r="L161" s="919">
        <f>SUM(L158,L159,L160)</f>
        <v>0</v>
      </c>
      <c r="M161" s="891">
        <f>SUM(M158,M159,-M160)</f>
        <v>-1714.32</v>
      </c>
      <c r="N161" s="641"/>
      <c r="O161" s="641"/>
      <c r="P161" s="641"/>
      <c r="Q161" s="641"/>
      <c r="T161" s="3060">
        <v>6829.2120000000004</v>
      </c>
      <c r="U161" s="3064">
        <v>0</v>
      </c>
    </row>
    <row r="162" spans="1:21" ht="17">
      <c r="A162" s="1648">
        <f t="shared" si="26"/>
        <v>0</v>
      </c>
      <c r="B162" s="1647">
        <f t="shared" si="27"/>
        <v>1</v>
      </c>
      <c r="C162" s="1647" t="str">
        <f t="shared" si="28"/>
        <v>J</v>
      </c>
      <c r="D162" s="1659">
        <v>6791</v>
      </c>
      <c r="E162" s="888" t="str">
        <f t="shared" si="29"/>
        <v>所得税费用</v>
      </c>
      <c r="F162" s="884">
        <f>VLOOKUP($D162,Sheet_Preis,4,0)</f>
        <v>0</v>
      </c>
      <c r="G162" s="885">
        <f>SUMIF(AJE!$B:$B,$C162&amp;$D162&amp;"*",AJE!$O:$O)</f>
        <v>0</v>
      </c>
      <c r="H162" s="885">
        <f>SUMIF(AJE!$B:$B,$C162&amp;$D162&amp;"*",AJE!$P:$P)</f>
        <v>0</v>
      </c>
      <c r="I162" s="913">
        <f t="shared" si="38"/>
        <v>0</v>
      </c>
      <c r="J162" s="914">
        <f>VLOOKUP($D162,Sheet_Preis,5,0)</f>
        <v>0</v>
      </c>
      <c r="K162" s="885">
        <f>SUMIF('AJE1'!$B:$B,$C162&amp;$D162&amp;"*",'AJE1'!$O:$O)</f>
        <v>0</v>
      </c>
      <c r="L162" s="885">
        <f>SUMIF('AJE1'!$B:$B,$C162&amp;$D162&amp;"*",'AJE1'!$P:$P)</f>
        <v>0</v>
      </c>
      <c r="M162" s="891">
        <f t="shared" si="39"/>
        <v>0</v>
      </c>
      <c r="N162" s="641"/>
      <c r="O162" s="641"/>
      <c r="P162" s="641"/>
      <c r="Q162" s="641"/>
      <c r="T162" s="3060">
        <v>6829.2190000000001</v>
      </c>
      <c r="U162" s="3064">
        <v>0</v>
      </c>
    </row>
    <row r="163" spans="1:21" ht="17">
      <c r="A163" s="1648" t="str">
        <f t="shared" si="26"/>
        <v>＝</v>
      </c>
      <c r="B163" s="1647">
        <f t="shared" si="27"/>
        <v>0</v>
      </c>
      <c r="C163" s="1647">
        <f t="shared" si="28"/>
        <v>0</v>
      </c>
      <c r="D163" s="2186">
        <v>6799</v>
      </c>
      <c r="E163" s="2187" t="str">
        <f t="shared" si="29"/>
        <v>净利润</v>
      </c>
      <c r="F163" s="884">
        <f t="shared" ref="F163:M163" si="49">SUM(F161,-F162)</f>
        <v>-2324.91</v>
      </c>
      <c r="G163" s="919">
        <f>SUM(G161,G162)</f>
        <v>0</v>
      </c>
      <c r="H163" s="919">
        <f>SUM(H161,H162)</f>
        <v>0</v>
      </c>
      <c r="I163" s="913">
        <f t="shared" si="49"/>
        <v>-2324.91</v>
      </c>
      <c r="J163" s="914">
        <f t="shared" si="49"/>
        <v>-1714.32</v>
      </c>
      <c r="K163" s="919">
        <f>SUM(K161,K162)</f>
        <v>0</v>
      </c>
      <c r="L163" s="919">
        <f>SUM(L161,L162)</f>
        <v>0</v>
      </c>
      <c r="M163" s="891">
        <f t="shared" si="49"/>
        <v>-1714.32</v>
      </c>
      <c r="N163" s="641"/>
      <c r="O163" s="641"/>
      <c r="P163" s="641"/>
      <c r="Q163" s="641"/>
      <c r="T163" s="3057">
        <v>6829.23</v>
      </c>
      <c r="U163" s="3064">
        <v>0</v>
      </c>
    </row>
    <row r="164" spans="1:21" s="641" customFormat="1" ht="17">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60">
        <v>6829.2309999999998</v>
      </c>
      <c r="U164" s="3064">
        <v>0</v>
      </c>
    </row>
    <row r="165" spans="1:21" s="641" customFormat="1" ht="17">
      <c r="A165" s="1648">
        <f>VLOOKUP($D165,Sheet_Items,4,0)</f>
        <v>0</v>
      </c>
      <c r="B165" s="1647">
        <f>VLOOKUP($D165,Sheet_Items,3,0)</f>
        <v>1</v>
      </c>
      <c r="C165" s="1647">
        <f>VLOOKUP($D165,Sheet_Items,9,0)</f>
        <v>0</v>
      </c>
      <c r="D165" s="1659">
        <v>6816</v>
      </c>
      <c r="E165" s="888" t="str">
        <f>VLOOKUP($D165,Sheet_Items,2,0)</f>
        <v>持续经营净利润</v>
      </c>
      <c r="F165" s="917">
        <f>VLOOKUP($D165,Sheet_Preis,4,0)</f>
        <v>-2324.91</v>
      </c>
      <c r="G165" s="918"/>
      <c r="H165" s="918"/>
      <c r="I165" s="921"/>
      <c r="J165" s="922">
        <f>VLOOKUP($D165,Sheet_Preis,5,0)</f>
        <v>-1714.32</v>
      </c>
      <c r="K165" s="918"/>
      <c r="L165" s="918"/>
      <c r="M165" s="923"/>
      <c r="T165" s="3060">
        <v>6829.232</v>
      </c>
      <c r="U165" s="3064">
        <v>0</v>
      </c>
    </row>
    <row r="166" spans="1:21" s="641" customFormat="1" ht="17">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60">
        <v>6829.2330000000002</v>
      </c>
      <c r="U166" s="3064">
        <v>0</v>
      </c>
    </row>
    <row r="167" spans="1:21" ht="17">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60">
        <v>6829.2340000000004</v>
      </c>
      <c r="U167" s="3064">
        <v>0</v>
      </c>
    </row>
    <row r="168" spans="1:21" ht="17">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60">
        <v>6829.2349999999997</v>
      </c>
      <c r="U168" s="3064">
        <v>0</v>
      </c>
    </row>
    <row r="169" spans="1:21" ht="17">
      <c r="A169" s="1648" t="str">
        <f t="shared" si="26"/>
        <v>※</v>
      </c>
      <c r="B169" s="1647">
        <f t="shared" si="27"/>
        <v>-1</v>
      </c>
      <c r="C169" s="1647">
        <f t="shared" si="28"/>
        <v>0</v>
      </c>
      <c r="D169" s="2186">
        <v>6811</v>
      </c>
      <c r="E169" s="2187" t="str">
        <f t="shared" si="29"/>
        <v>归属于母公司所有者的净利润</v>
      </c>
      <c r="F169" s="884">
        <f>VLOOKUP($D169,Sheet_Preis,4,0)</f>
        <v>-2324.91</v>
      </c>
      <c r="G169" s="885">
        <f>SUM(VLOOKUP(6799,Sheet_Trialbal,4,0),VLOOKUP(6812,Sheet_Trialbal,4,0))</f>
        <v>0</v>
      </c>
      <c r="H169" s="885">
        <f>SUM(VLOOKUP(6799,Sheet_Trialbal,5,0),VLOOKUP(6812,Sheet_Trialbal,5,0))</f>
        <v>0</v>
      </c>
      <c r="I169" s="913">
        <f t="shared" si="38"/>
        <v>-2324.91</v>
      </c>
      <c r="J169" s="914">
        <f>VLOOKUP($D169,Sheet_Preis,5,0)</f>
        <v>-1714.32</v>
      </c>
      <c r="K169" s="885">
        <f>SUM(VLOOKUP(6799,Sheet_Trialbal,8,0),VLOOKUP(6812,Sheet_Trialbal,8,0))</f>
        <v>0</v>
      </c>
      <c r="L169" s="885">
        <f>SUM(VLOOKUP(6799,Sheet_Trialbal,9,0),VLOOKUP(6812,Sheet_Trialbal,9,0))</f>
        <v>0</v>
      </c>
      <c r="M169" s="891">
        <f t="shared" si="39"/>
        <v>-1714.32</v>
      </c>
      <c r="N169" s="641"/>
      <c r="O169" s="641"/>
      <c r="P169" s="641"/>
      <c r="Q169" s="641"/>
      <c r="T169" s="3060">
        <v>6829.2359999999999</v>
      </c>
      <c r="U169" s="3064">
        <v>0</v>
      </c>
    </row>
    <row r="170" spans="1:21" ht="17">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60">
        <v>6829.2370000000001</v>
      </c>
      <c r="U170" s="3064">
        <v>0</v>
      </c>
    </row>
    <row r="171" spans="1:21" ht="26">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60">
        <v>6829.2389999999996</v>
      </c>
      <c r="U171" s="3064">
        <v>0</v>
      </c>
    </row>
    <row r="172" spans="1:21" ht="26">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9">
        <v>6829.5</v>
      </c>
      <c r="U172" s="3064">
        <v>0</v>
      </c>
    </row>
    <row r="173" spans="1:21" ht="17">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6">
        <v>6839</v>
      </c>
      <c r="U173" s="3064">
        <v>-1714.32</v>
      </c>
    </row>
    <row r="174" spans="1:21" ht="26">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6">
        <v>6841</v>
      </c>
      <c r="U174" s="3064">
        <v>-1714.32</v>
      </c>
    </row>
    <row r="175" spans="1:21" ht="17">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6">
        <v>6842</v>
      </c>
      <c r="U175" s="3064">
        <v>0</v>
      </c>
    </row>
    <row r="176" spans="1:21" ht="17">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6">
        <v>6820</v>
      </c>
      <c r="U176" s="3065"/>
    </row>
    <row r="177" spans="1:21" ht="26">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6">
        <v>6821</v>
      </c>
      <c r="U177" s="3065"/>
    </row>
    <row r="178" spans="1:21" ht="26">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6">
        <v>6822</v>
      </c>
      <c r="U178" s="3065"/>
    </row>
    <row r="179" spans="1:21" ht="17">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7">
        <v>6710.11</v>
      </c>
      <c r="U179" s="3065"/>
    </row>
    <row r="180" spans="1:21" ht="26">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7">
        <v>6711.01</v>
      </c>
      <c r="U180" s="3065"/>
    </row>
    <row r="181" spans="1:21" ht="26">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6">
        <v>6805</v>
      </c>
      <c r="U181" s="3065"/>
    </row>
    <row r="182" spans="1:21" ht="17">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6">
        <v>8</v>
      </c>
      <c r="U182" s="3064"/>
    </row>
    <row r="183" spans="1:21" ht="17">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6">
        <v>8000</v>
      </c>
      <c r="U183" s="3064"/>
    </row>
    <row r="184" spans="1:21" ht="26">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6">
        <v>8001</v>
      </c>
      <c r="U184" s="3064">
        <v>0</v>
      </c>
    </row>
    <row r="185" spans="1:21" ht="17">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6">
        <v>8002</v>
      </c>
      <c r="U185" s="3064">
        <v>0</v>
      </c>
    </row>
    <row r="186" spans="1:21" ht="17">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6">
        <v>8003</v>
      </c>
      <c r="U186" s="3064">
        <v>0</v>
      </c>
    </row>
    <row r="187" spans="1:21" ht="17">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6">
        <v>8004</v>
      </c>
      <c r="U187" s="3064">
        <v>0</v>
      </c>
    </row>
    <row r="188" spans="1:21" ht="52">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6">
        <v>8009</v>
      </c>
      <c r="U188" s="3064">
        <v>0</v>
      </c>
    </row>
    <row r="189" spans="1:21" ht="52">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6">
        <v>8010</v>
      </c>
      <c r="U189" s="3064">
        <v>0</v>
      </c>
    </row>
    <row r="190" spans="1:21" ht="26">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6">
        <v>8090</v>
      </c>
      <c r="U190" s="3064">
        <v>-1714.32</v>
      </c>
    </row>
    <row r="191" spans="1:21" ht="26">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6">
        <v>8021</v>
      </c>
      <c r="U191" s="3064">
        <v>-1714.32</v>
      </c>
    </row>
    <row r="192" spans="1:21" ht="17">
      <c r="A192" s="1648" t="str">
        <f t="shared" si="26"/>
        <v>＝</v>
      </c>
      <c r="B192" s="1647">
        <f t="shared" si="27"/>
        <v>0</v>
      </c>
      <c r="C192" s="1647">
        <f t="shared" si="28"/>
        <v>0</v>
      </c>
      <c r="D192" s="2186">
        <v>6839</v>
      </c>
      <c r="E192" s="2187" t="str">
        <f t="shared" si="29"/>
        <v>综合收益总额</v>
      </c>
      <c r="F192" s="884">
        <f t="shared" ref="F192:M192" si="58">SUM(F163,F170)</f>
        <v>-2324.91</v>
      </c>
      <c r="G192" s="885">
        <f t="shared" si="58"/>
        <v>0</v>
      </c>
      <c r="H192" s="885">
        <f t="shared" si="58"/>
        <v>0</v>
      </c>
      <c r="I192" s="913">
        <f t="shared" si="58"/>
        <v>-2324.91</v>
      </c>
      <c r="J192" s="914">
        <f t="shared" si="58"/>
        <v>-1714.32</v>
      </c>
      <c r="K192" s="885">
        <f t="shared" si="58"/>
        <v>0</v>
      </c>
      <c r="L192" s="885">
        <f t="shared" si="58"/>
        <v>0</v>
      </c>
      <c r="M192" s="891">
        <f t="shared" si="58"/>
        <v>-1714.32</v>
      </c>
      <c r="N192" s="641"/>
      <c r="O192" s="641"/>
      <c r="P192" s="641"/>
      <c r="Q192" s="641"/>
      <c r="T192" s="3056">
        <v>8030</v>
      </c>
      <c r="U192" s="3064">
        <v>0</v>
      </c>
    </row>
    <row r="193" spans="1:21" ht="26">
      <c r="A193" s="1648" t="str">
        <f t="shared" si="26"/>
        <v>※</v>
      </c>
      <c r="B193" s="1647">
        <f t="shared" si="27"/>
        <v>-1</v>
      </c>
      <c r="C193" s="1647">
        <f t="shared" si="28"/>
        <v>0</v>
      </c>
      <c r="D193" s="1659">
        <v>6841</v>
      </c>
      <c r="E193" s="888" t="str">
        <f t="shared" si="29"/>
        <v>归属于母公司所有者的综合收益总额</v>
      </c>
      <c r="F193" s="884">
        <f t="shared" ref="F193:M193" si="59">SUM(F169,F171)</f>
        <v>-2324.91</v>
      </c>
      <c r="G193" s="885">
        <f t="shared" si="59"/>
        <v>0</v>
      </c>
      <c r="H193" s="885">
        <f t="shared" si="59"/>
        <v>0</v>
      </c>
      <c r="I193" s="913">
        <f t="shared" si="59"/>
        <v>-2324.91</v>
      </c>
      <c r="J193" s="914">
        <f t="shared" si="59"/>
        <v>-1714.32</v>
      </c>
      <c r="K193" s="885">
        <f t="shared" si="59"/>
        <v>0</v>
      </c>
      <c r="L193" s="885">
        <f t="shared" si="59"/>
        <v>0</v>
      </c>
      <c r="M193" s="891">
        <f t="shared" si="59"/>
        <v>-1714.32</v>
      </c>
      <c r="N193" s="641"/>
      <c r="O193" s="641"/>
      <c r="P193" s="641"/>
      <c r="Q193" s="641"/>
      <c r="T193" s="3056">
        <v>8040</v>
      </c>
      <c r="U193" s="3064">
        <v>-1714.32</v>
      </c>
    </row>
    <row r="194" spans="1:21" ht="17">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6">
        <v>8050</v>
      </c>
      <c r="U194" s="3064">
        <v>0</v>
      </c>
    </row>
    <row r="195" spans="1:21" ht="17">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6">
        <v>8051</v>
      </c>
      <c r="U195" s="3064">
        <v>0</v>
      </c>
    </row>
    <row r="196" spans="1:21" ht="17">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6">
        <v>8053</v>
      </c>
      <c r="U196" s="3064">
        <v>0</v>
      </c>
    </row>
    <row r="197" spans="1:21" ht="17">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6">
        <v>8052</v>
      </c>
      <c r="U197" s="3064">
        <v>0</v>
      </c>
    </row>
    <row r="198" spans="1:21" ht="17">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6">
        <v>8056</v>
      </c>
      <c r="U198" s="3064">
        <v>0</v>
      </c>
    </row>
    <row r="199" spans="1:21" ht="17">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6">
        <v>8060</v>
      </c>
      <c r="U199" s="3064">
        <v>0</v>
      </c>
    </row>
    <row r="200" spans="1:21" ht="26">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6">
        <v>8061</v>
      </c>
      <c r="U200" s="3064">
        <v>0</v>
      </c>
    </row>
    <row r="201" spans="1:21" ht="17">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6">
        <v>8062</v>
      </c>
      <c r="U201" s="3064">
        <v>0</v>
      </c>
    </row>
    <row r="202" spans="1:21" ht="17">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6">
        <v>8063</v>
      </c>
      <c r="U202" s="3064">
        <v>0</v>
      </c>
    </row>
    <row r="203" spans="1:21" ht="17">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-1714.32</v>
      </c>
      <c r="G203" s="885">
        <f t="shared" ref="G203:H209" si="66">SUM(G236,G362,G395,G459,G492,G525,G558,G591,G624,G269,G300,G331,G428)</f>
        <v>0</v>
      </c>
      <c r="H203" s="885">
        <f t="shared" si="66"/>
        <v>0</v>
      </c>
      <c r="I203" s="913">
        <f t="shared" ref="I203:J209" si="67">SUM(I236,I362,-I395,I459,I492,I525,I558,I591,I624,I269,I300,I331,I428)</f>
        <v>-1714.32</v>
      </c>
      <c r="J203" s="914">
        <f t="shared" ca="1" si="67"/>
        <v>0</v>
      </c>
      <c r="K203" s="885">
        <f t="shared" ref="K203:L209" si="68">SUM(K236,K362,K395,K459,K492,K525,K558,K591,K624,K269,K300,K331,K428)</f>
        <v>0</v>
      </c>
      <c r="L203" s="885">
        <f t="shared" si="68"/>
        <v>0</v>
      </c>
      <c r="M203" s="891">
        <f t="shared" ref="M203:M209" ca="1" si="69">SUM(M236,M362,-M395,M459,M492,M525,M558,M591,M624,M269,M300,M331,M428)</f>
        <v>0</v>
      </c>
      <c r="N203" s="641"/>
      <c r="O203" s="641"/>
      <c r="P203" s="641"/>
      <c r="Q203" s="641"/>
      <c r="T203" s="3056">
        <v>8066</v>
      </c>
      <c r="U203" s="3064">
        <v>0</v>
      </c>
    </row>
    <row r="204" spans="1:21" ht="26">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6">
        <v>8070</v>
      </c>
      <c r="U204" s="3064">
        <v>0</v>
      </c>
    </row>
    <row r="205" spans="1:21" ht="26">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6">
        <v>8071</v>
      </c>
      <c r="U205" s="3064">
        <v>0</v>
      </c>
    </row>
    <row r="206" spans="1:21" ht="26">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6">
        <v>8072</v>
      </c>
      <c r="U206" s="3064">
        <v>0</v>
      </c>
    </row>
    <row r="207" spans="1:21" ht="26">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6">
        <v>8073</v>
      </c>
      <c r="U207" s="3064">
        <v>0</v>
      </c>
    </row>
    <row r="208" spans="1:21" ht="17">
      <c r="A208" s="1648" t="str">
        <f t="shared" si="63"/>
        <v>＝</v>
      </c>
      <c r="B208" s="1647">
        <f t="shared" si="64"/>
        <v>0</v>
      </c>
      <c r="C208" s="1647">
        <f t="shared" si="61"/>
        <v>0</v>
      </c>
      <c r="D208" s="1659">
        <v>8010</v>
      </c>
      <c r="E208" s="888" t="str">
        <f t="shared" si="62"/>
        <v>所有者权益_本年年初余额</v>
      </c>
      <c r="F208" s="884">
        <f t="shared" si="65"/>
        <v>-1714.32</v>
      </c>
      <c r="G208" s="885">
        <f t="shared" si="66"/>
        <v>0</v>
      </c>
      <c r="H208" s="885">
        <f t="shared" si="66"/>
        <v>0</v>
      </c>
      <c r="I208" s="913">
        <f t="shared" si="67"/>
        <v>-1714.32</v>
      </c>
      <c r="J208" s="914">
        <f t="shared" ca="1" si="67"/>
        <v>0</v>
      </c>
      <c r="K208" s="885">
        <f t="shared" si="68"/>
        <v>0</v>
      </c>
      <c r="L208" s="885">
        <f t="shared" si="68"/>
        <v>0</v>
      </c>
      <c r="M208" s="891">
        <f t="shared" ca="1" si="69"/>
        <v>0</v>
      </c>
      <c r="N208" s="641"/>
      <c r="O208" s="641"/>
      <c r="P208" s="641"/>
      <c r="Q208" s="641"/>
      <c r="T208" s="3056">
        <v>8075</v>
      </c>
      <c r="U208" s="3064">
        <v>0</v>
      </c>
    </row>
    <row r="209" spans="1:21" ht="17">
      <c r="A209" s="1648" t="str">
        <f t="shared" si="63"/>
        <v>＝</v>
      </c>
      <c r="B209" s="1647">
        <f t="shared" si="64"/>
        <v>0</v>
      </c>
      <c r="C209" s="1647">
        <f t="shared" si="61"/>
        <v>0</v>
      </c>
      <c r="D209" s="1659">
        <v>8090</v>
      </c>
      <c r="E209" s="888" t="str">
        <f t="shared" si="62"/>
        <v>所有者权益_本期增减变动金额</v>
      </c>
      <c r="F209" s="884">
        <f t="shared" si="65"/>
        <v>-2324.91</v>
      </c>
      <c r="G209" s="885">
        <f t="shared" si="66"/>
        <v>0</v>
      </c>
      <c r="H209" s="885">
        <f t="shared" si="66"/>
        <v>0</v>
      </c>
      <c r="I209" s="913">
        <f t="shared" si="67"/>
        <v>-2324.91</v>
      </c>
      <c r="J209" s="914">
        <f t="shared" ca="1" si="67"/>
        <v>-1714.32</v>
      </c>
      <c r="K209" s="885">
        <f t="shared" si="68"/>
        <v>0</v>
      </c>
      <c r="L209" s="885">
        <f t="shared" si="68"/>
        <v>0</v>
      </c>
      <c r="M209" s="891">
        <f t="shared" ca="1" si="69"/>
        <v>-1714.32</v>
      </c>
      <c r="N209" s="641"/>
      <c r="O209" s="641"/>
      <c r="P209" s="641"/>
      <c r="Q209" s="641"/>
      <c r="T209" s="3056">
        <v>8076</v>
      </c>
      <c r="U209" s="3064">
        <v>0</v>
      </c>
    </row>
    <row r="210" spans="1:21" ht="17">
      <c r="A210" s="1648" t="str">
        <f t="shared" si="63"/>
        <v>DEL</v>
      </c>
      <c r="B210" s="1647">
        <f t="shared" si="64"/>
        <v>-1</v>
      </c>
      <c r="C210" s="1647">
        <f t="shared" si="61"/>
        <v>0</v>
      </c>
      <c r="D210" s="1659">
        <v>8021</v>
      </c>
      <c r="E210" s="888" t="str">
        <f t="shared" si="62"/>
        <v>所有者权益_净利润增加权益</v>
      </c>
      <c r="F210" s="884">
        <f>SUM(F243,F369,-F402,F466,F499,F532,F565,F598,F631)</f>
        <v>-2324.91</v>
      </c>
      <c r="G210" s="885">
        <f>SUM(G243,G369,G402,G466,G499,G532,G565,G598,G631)</f>
        <v>0</v>
      </c>
      <c r="H210" s="885">
        <f>SUM(H243,H369,H402,H466,H499,H532,H565,H598,H631)</f>
        <v>0</v>
      </c>
      <c r="I210" s="913">
        <f>SUM(I243,I369,-I402,I466,I499,I532,I565,I598,I631)</f>
        <v>-2324.91</v>
      </c>
      <c r="J210" s="914">
        <f>SUM(J243,J369,-J402,J466,J499,J532,J565,J598,J631)</f>
        <v>-1714.32</v>
      </c>
      <c r="K210" s="885">
        <f>SUM(K243,K369,K402,K466,K499,K532,K565,K598,K631)</f>
        <v>0</v>
      </c>
      <c r="L210" s="885">
        <f>SUM(L243,L369,L402,L466,L499,L532,L565,L598,L631)</f>
        <v>0</v>
      </c>
      <c r="M210" s="891">
        <f>SUM(M243,M369,-M402,M466,M499,M532,M565,M598,M631)</f>
        <v>-1714.32</v>
      </c>
      <c r="N210" s="641"/>
      <c r="O210" s="641"/>
      <c r="P210" s="641"/>
      <c r="Q210" s="641"/>
      <c r="T210" s="3056">
        <v>8080</v>
      </c>
      <c r="U210" s="3064">
        <v>0</v>
      </c>
    </row>
    <row r="211" spans="1:21" ht="26">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6">
        <v>8081</v>
      </c>
      <c r="U211" s="3064">
        <v>0</v>
      </c>
    </row>
    <row r="212" spans="1:21" ht="26">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-2324.91</v>
      </c>
      <c r="G212" s="885">
        <f t="shared" ref="G212:H234" si="71">SUM(G245,G371,G404,G468,G501,G534,G567,G600,G633,G276,G307,G338,G435)</f>
        <v>0</v>
      </c>
      <c r="H212" s="885">
        <f t="shared" si="71"/>
        <v>0</v>
      </c>
      <c r="I212" s="913">
        <f t="shared" ref="I212:J234" si="72">SUM(I245,I371,-I404,I468,I501,I534,I567,I600,I633,I276,I307,I338,I435)</f>
        <v>-2324.91</v>
      </c>
      <c r="J212" s="914">
        <f t="shared" ca="1" si="72"/>
        <v>-1714.32</v>
      </c>
      <c r="K212" s="885">
        <f t="shared" ref="K212:L234" si="73">SUM(K245,K371,K404,K468,K501,K534,K567,K600,K633,K276,K307,K338,K435)</f>
        <v>0</v>
      </c>
      <c r="L212" s="885">
        <f t="shared" si="73"/>
        <v>0</v>
      </c>
      <c r="M212" s="891">
        <f t="shared" ref="M212:M234" ca="1" si="74">SUM(M245,M371,-M404,M468,M501,M534,M567,M600,M633,M276,M307,M338,M435)</f>
        <v>-1714.32</v>
      </c>
      <c r="N212" s="641"/>
      <c r="O212" s="641"/>
      <c r="P212" s="641"/>
      <c r="Q212" s="641"/>
      <c r="T212" s="3056">
        <v>8082</v>
      </c>
      <c r="U212" s="3064">
        <v>0</v>
      </c>
    </row>
    <row r="213" spans="1:21" ht="26">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6">
        <v>8096</v>
      </c>
      <c r="U213" s="3064">
        <v>0</v>
      </c>
    </row>
    <row r="214" spans="1:21" ht="26">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6">
        <v>8099</v>
      </c>
      <c r="U214" s="3064">
        <v>-1714.32</v>
      </c>
    </row>
    <row r="215" spans="1:21" ht="26">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6">
        <v>8100</v>
      </c>
      <c r="U215" s="3064"/>
    </row>
    <row r="216" spans="1:21" ht="26">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6">
        <v>8101</v>
      </c>
      <c r="U216" s="3064">
        <v>0</v>
      </c>
    </row>
    <row r="217" spans="1:21" ht="26">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6">
        <v>8102</v>
      </c>
      <c r="U217" s="3064">
        <v>0</v>
      </c>
    </row>
    <row r="218" spans="1:21" ht="17">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6">
        <v>8103</v>
      </c>
      <c r="U218" s="3064">
        <v>0</v>
      </c>
    </row>
    <row r="219" spans="1:21" ht="26">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6">
        <v>8104</v>
      </c>
      <c r="U219" s="3064">
        <v>0</v>
      </c>
    </row>
    <row r="220" spans="1:21" ht="26">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6">
        <v>8109</v>
      </c>
      <c r="U220" s="3064">
        <v>0</v>
      </c>
    </row>
    <row r="221" spans="1:21" ht="26">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6">
        <v>8110</v>
      </c>
      <c r="U221" s="3064">
        <v>0</v>
      </c>
    </row>
    <row r="222" spans="1:21" ht="26">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6">
        <v>8190</v>
      </c>
      <c r="U222" s="3064">
        <v>0</v>
      </c>
    </row>
    <row r="223" spans="1:21" ht="17">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6">
        <v>8121</v>
      </c>
      <c r="U223" s="3064">
        <v>0</v>
      </c>
    </row>
    <row r="224" spans="1:21" ht="26">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6">
        <v>8130</v>
      </c>
      <c r="U224" s="3064">
        <v>0</v>
      </c>
    </row>
    <row r="225" spans="1:21" ht="26">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6">
        <v>8140</v>
      </c>
      <c r="U225" s="3064">
        <v>0</v>
      </c>
    </row>
    <row r="226" spans="1:21" ht="26">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6">
        <v>8150</v>
      </c>
      <c r="U226" s="3064">
        <v>0</v>
      </c>
    </row>
    <row r="227" spans="1:21" ht="26">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6">
        <v>8151</v>
      </c>
      <c r="U227" s="3064">
        <v>0</v>
      </c>
    </row>
    <row r="228" spans="1:21" ht="26">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6">
        <v>8153</v>
      </c>
      <c r="U228" s="3064">
        <v>0</v>
      </c>
    </row>
    <row r="229" spans="1:21" ht="26">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6">
        <v>8152</v>
      </c>
      <c r="U229" s="3064">
        <v>0</v>
      </c>
    </row>
    <row r="230" spans="1:21" ht="17">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6">
        <v>8156</v>
      </c>
      <c r="U230" s="3064">
        <v>0</v>
      </c>
    </row>
    <row r="231" spans="1:21" ht="17">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6">
        <v>8160</v>
      </c>
      <c r="U231" s="3064">
        <v>0</v>
      </c>
    </row>
    <row r="232" spans="1:21" ht="17">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6">
        <v>8161</v>
      </c>
      <c r="U232" s="3064">
        <v>0</v>
      </c>
    </row>
    <row r="233" spans="1:21" ht="17">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6">
        <v>8162</v>
      </c>
      <c r="U233" s="3064">
        <v>0</v>
      </c>
    </row>
    <row r="234" spans="1:21" ht="17">
      <c r="A234" s="1648" t="str">
        <f t="shared" si="63"/>
        <v>＝</v>
      </c>
      <c r="B234" s="1647">
        <f t="shared" si="64"/>
        <v>0</v>
      </c>
      <c r="C234" s="1647">
        <f t="shared" ref="C234:C266" si="75">VLOOKUP($D234,Sheet_Items,9,0)</f>
        <v>0</v>
      </c>
      <c r="D234" s="1659">
        <v>8099</v>
      </c>
      <c r="E234" s="888" t="str">
        <f t="shared" si="62"/>
        <v>所有者权益_本期期末余额</v>
      </c>
      <c r="F234" s="884">
        <f t="shared" si="70"/>
        <v>-4039.23</v>
      </c>
      <c r="G234" s="885">
        <f t="shared" si="71"/>
        <v>0</v>
      </c>
      <c r="H234" s="885">
        <f t="shared" si="71"/>
        <v>0</v>
      </c>
      <c r="I234" s="913">
        <f t="shared" si="72"/>
        <v>-4039.23</v>
      </c>
      <c r="J234" s="914">
        <f t="shared" ca="1" si="72"/>
        <v>-1714.32</v>
      </c>
      <c r="K234" s="885">
        <f t="shared" si="73"/>
        <v>0</v>
      </c>
      <c r="L234" s="885">
        <f t="shared" si="73"/>
        <v>0</v>
      </c>
      <c r="M234" s="891">
        <f t="shared" ca="1" si="74"/>
        <v>-1714.32</v>
      </c>
      <c r="N234" s="641"/>
      <c r="O234" s="641"/>
      <c r="P234" s="641"/>
      <c r="Q234" s="641"/>
      <c r="T234" s="3056">
        <v>8163</v>
      </c>
      <c r="U234" s="3064">
        <v>0</v>
      </c>
    </row>
    <row r="235" spans="1:21" ht="17">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6">
        <v>8166</v>
      </c>
      <c r="U235" s="3064">
        <v>0</v>
      </c>
    </row>
    <row r="236" spans="1:21" ht="17">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0</v>
      </c>
      <c r="K236" s="885">
        <f>SUMIF('AJE1'!$B:$B,$C236&amp;$D236&amp;"*",'AJE1'!$O:$O)</f>
        <v>0</v>
      </c>
      <c r="L236" s="885">
        <f>SUMIF('AJE1'!$B:$B,$C236&amp;$D236&amp;"*",'AJE1'!$P:$P)</f>
        <v>0</v>
      </c>
      <c r="M236" s="891">
        <f>($B236*J236+K236-L236)*$B236</f>
        <v>0</v>
      </c>
      <c r="N236" s="641"/>
      <c r="O236" s="641"/>
      <c r="P236" s="641"/>
      <c r="Q236" s="641"/>
      <c r="T236" s="3056">
        <v>8170</v>
      </c>
      <c r="U236" s="3064">
        <v>0</v>
      </c>
    </row>
    <row r="237" spans="1:21" ht="26">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6">
        <v>8171</v>
      </c>
      <c r="U237" s="3064">
        <v>0</v>
      </c>
    </row>
    <row r="238" spans="1:21" ht="26">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6">
        <v>8172</v>
      </c>
      <c r="U238" s="3064">
        <v>0</v>
      </c>
    </row>
    <row r="239" spans="1:21" ht="26">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6">
        <v>8173</v>
      </c>
      <c r="U239" s="3064">
        <v>0</v>
      </c>
    </row>
    <row r="240" spans="1:21" ht="26">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6">
        <v>8175</v>
      </c>
      <c r="U240" s="3064">
        <v>0</v>
      </c>
    </row>
    <row r="241" spans="1:21" ht="17">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0</v>
      </c>
      <c r="K241" s="885">
        <f t="shared" si="76"/>
        <v>0</v>
      </c>
      <c r="L241" s="885">
        <f t="shared" si="76"/>
        <v>0</v>
      </c>
      <c r="M241" s="891">
        <f t="shared" si="76"/>
        <v>0</v>
      </c>
      <c r="N241" s="641"/>
      <c r="O241" s="641"/>
      <c r="P241" s="641"/>
      <c r="Q241" s="641"/>
      <c r="T241" s="3056">
        <v>8176</v>
      </c>
      <c r="U241" s="3064">
        <v>0</v>
      </c>
    </row>
    <row r="242" spans="1:21" ht="17">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6">
        <v>8180</v>
      </c>
      <c r="U242" s="3064">
        <v>0</v>
      </c>
    </row>
    <row r="243" spans="1:21" ht="17">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6">
        <v>8181</v>
      </c>
      <c r="U243" s="3064">
        <v>0</v>
      </c>
    </row>
    <row r="244" spans="1:21" ht="17">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6">
        <v>8182</v>
      </c>
      <c r="U244" s="3064">
        <v>0</v>
      </c>
    </row>
    <row r="245" spans="1:21" ht="17">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6">
        <v>8196</v>
      </c>
      <c r="U245" s="3064">
        <v>0</v>
      </c>
    </row>
    <row r="246" spans="1:21" ht="26">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6">
        <v>8199</v>
      </c>
      <c r="U246" s="3064">
        <v>0</v>
      </c>
    </row>
    <row r="247" spans="1:21" ht="17">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6" t="s">
        <v>1216</v>
      </c>
      <c r="U247" s="3064"/>
    </row>
    <row r="248" spans="1:21" ht="26">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6" t="s">
        <v>1220</v>
      </c>
      <c r="U248" s="3064">
        <v>0</v>
      </c>
    </row>
    <row r="249" spans="1:21" ht="26">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6" t="s">
        <v>1225</v>
      </c>
      <c r="U249" s="3064">
        <v>0</v>
      </c>
    </row>
    <row r="250" spans="1:21" ht="26">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6" t="s">
        <v>1230</v>
      </c>
      <c r="U250" s="3064">
        <v>0</v>
      </c>
    </row>
    <row r="251" spans="1:21" ht="17">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6" t="s">
        <v>1236</v>
      </c>
      <c r="U251" s="3064">
        <v>0</v>
      </c>
    </row>
    <row r="252" spans="1:21" ht="17">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6" t="s">
        <v>1242</v>
      </c>
      <c r="U252" s="3064">
        <v>0</v>
      </c>
    </row>
    <row r="253" spans="1:21" ht="26">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6" t="s">
        <v>1247</v>
      </c>
      <c r="U253" s="3064">
        <v>0</v>
      </c>
    </row>
    <row r="254" spans="1:21" ht="26">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6" t="s">
        <v>1252</v>
      </c>
      <c r="U254" s="3064">
        <v>0</v>
      </c>
    </row>
    <row r="255" spans="1:21" ht="17">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6" t="s">
        <v>1256</v>
      </c>
      <c r="U255" s="3064">
        <v>0</v>
      </c>
    </row>
    <row r="256" spans="1:21" ht="17">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6" t="s">
        <v>1261</v>
      </c>
      <c r="U256" s="3064">
        <v>0</v>
      </c>
    </row>
    <row r="257" spans="1:21" ht="17">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6" t="s">
        <v>1266</v>
      </c>
      <c r="U257" s="3064">
        <v>0</v>
      </c>
    </row>
    <row r="258" spans="1:21" ht="17">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6" t="s">
        <v>1276</v>
      </c>
      <c r="U258" s="3064">
        <v>0</v>
      </c>
    </row>
    <row r="259" spans="1:21" ht="26">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6" t="s">
        <v>1271</v>
      </c>
      <c r="U259" s="3064">
        <v>0</v>
      </c>
    </row>
    <row r="260" spans="1:21" ht="26">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6" t="s">
        <v>1281</v>
      </c>
      <c r="U260" s="3064">
        <v>0</v>
      </c>
    </row>
    <row r="261" spans="1:21" ht="26">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6" t="s">
        <v>1286</v>
      </c>
      <c r="U261" s="3064">
        <v>0</v>
      </c>
    </row>
    <row r="262" spans="1:21" ht="26">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6" t="s">
        <v>1291</v>
      </c>
      <c r="U262" s="3064">
        <v>0</v>
      </c>
    </row>
    <row r="263" spans="1:21" ht="17">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6" t="s">
        <v>1297</v>
      </c>
      <c r="U263" s="3064">
        <v>0</v>
      </c>
    </row>
    <row r="264" spans="1:21" ht="17">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6" t="s">
        <v>1301</v>
      </c>
      <c r="U264" s="3064">
        <v>0</v>
      </c>
    </row>
    <row r="265" spans="1:21" ht="17">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6" t="s">
        <v>1307</v>
      </c>
      <c r="U265" s="3064">
        <v>0</v>
      </c>
    </row>
    <row r="266" spans="1:21" ht="17">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6" t="s">
        <v>1312</v>
      </c>
      <c r="U266" s="3064">
        <v>0</v>
      </c>
    </row>
    <row r="267" spans="1:21" ht="17">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0</v>
      </c>
      <c r="K267" s="885">
        <f t="shared" si="87"/>
        <v>0</v>
      </c>
      <c r="L267" s="885">
        <f t="shared" si="87"/>
        <v>0</v>
      </c>
      <c r="M267" s="891">
        <f t="shared" si="87"/>
        <v>0</v>
      </c>
      <c r="N267" s="641"/>
      <c r="O267" s="641"/>
      <c r="P267" s="641"/>
      <c r="Q267" s="641"/>
      <c r="T267" s="3056" t="s">
        <v>1318</v>
      </c>
      <c r="U267" s="3064">
        <v>0</v>
      </c>
    </row>
    <row r="268" spans="1:21" ht="26">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6" t="s">
        <v>1323</v>
      </c>
      <c r="U268" s="3064">
        <v>0</v>
      </c>
    </row>
    <row r="269" spans="1:21" ht="26">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6" t="s">
        <v>1328</v>
      </c>
      <c r="U269" s="3064">
        <v>0</v>
      </c>
    </row>
    <row r="270" spans="1:21" ht="26">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6" t="s">
        <v>1333</v>
      </c>
      <c r="U270" s="3064">
        <v>0</v>
      </c>
    </row>
    <row r="271" spans="1:21" ht="26">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6" t="s">
        <v>1338</v>
      </c>
      <c r="U271" s="3064">
        <v>0</v>
      </c>
    </row>
    <row r="272" spans="1:21" ht="26">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6" t="s">
        <v>1344</v>
      </c>
      <c r="U272" s="3064">
        <v>0</v>
      </c>
    </row>
    <row r="273" spans="1:21" ht="26">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6" t="s">
        <v>1348</v>
      </c>
      <c r="U273" s="3064">
        <v>0</v>
      </c>
    </row>
    <row r="274" spans="1:21" ht="26">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6" t="s">
        <v>1353</v>
      </c>
      <c r="U274" s="3064">
        <v>0</v>
      </c>
    </row>
    <row r="275" spans="1:21" ht="26">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6" t="s">
        <v>1360</v>
      </c>
      <c r="U275" s="3064">
        <v>0</v>
      </c>
    </row>
    <row r="276" spans="1:21" ht="26">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6" t="s">
        <v>1366</v>
      </c>
      <c r="U276" s="3064">
        <v>0</v>
      </c>
    </row>
    <row r="277" spans="1:21" ht="26">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6" t="s">
        <v>1372</v>
      </c>
      <c r="U277" s="3064"/>
    </row>
    <row r="278" spans="1:21" ht="26">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6" t="s">
        <v>1377</v>
      </c>
      <c r="U278" s="3064">
        <v>0</v>
      </c>
    </row>
    <row r="279" spans="1:21" ht="26">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6" t="s">
        <v>1382</v>
      </c>
      <c r="U279" s="3064">
        <v>0</v>
      </c>
    </row>
    <row r="280" spans="1:21" ht="26">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6" t="s">
        <v>1387</v>
      </c>
      <c r="U280" s="3064">
        <v>0</v>
      </c>
    </row>
    <row r="281" spans="1:21" ht="26">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6" t="s">
        <v>1392</v>
      </c>
      <c r="U281" s="3064">
        <v>0</v>
      </c>
    </row>
    <row r="282" spans="1:21" ht="26">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6" t="s">
        <v>1397</v>
      </c>
      <c r="U282" s="3064">
        <v>0</v>
      </c>
    </row>
    <row r="283" spans="1:21" ht="26">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6" t="s">
        <v>1402</v>
      </c>
      <c r="U283" s="3064">
        <v>0</v>
      </c>
    </row>
    <row r="284" spans="1:21" ht="26">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6" t="s">
        <v>1407</v>
      </c>
      <c r="U284" s="3064">
        <v>0</v>
      </c>
    </row>
    <row r="285" spans="1:21" ht="26">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6" t="s">
        <v>1413</v>
      </c>
      <c r="U285" s="3064">
        <v>0</v>
      </c>
    </row>
    <row r="286" spans="1:21" ht="26">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6" t="s">
        <v>1418</v>
      </c>
      <c r="U286" s="3064">
        <v>0</v>
      </c>
    </row>
    <row r="287" spans="1:21" ht="26">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6" t="s">
        <v>1424</v>
      </c>
      <c r="U287" s="3064">
        <v>0</v>
      </c>
    </row>
    <row r="288" spans="1:21" ht="26">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6" t="s">
        <v>1434</v>
      </c>
      <c r="U288" s="3064">
        <v>0</v>
      </c>
    </row>
    <row r="289" spans="1:21" ht="26">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6" t="s">
        <v>1429</v>
      </c>
      <c r="U289" s="3064">
        <v>0</v>
      </c>
    </row>
    <row r="290" spans="1:21" ht="26">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6" t="s">
        <v>1440</v>
      </c>
      <c r="U290" s="3064">
        <v>0</v>
      </c>
    </row>
    <row r="291" spans="1:21" ht="26">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6" t="s">
        <v>1445</v>
      </c>
      <c r="U291" s="3064">
        <v>0</v>
      </c>
    </row>
    <row r="292" spans="1:21" ht="26">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6" t="s">
        <v>1450</v>
      </c>
      <c r="U292" s="3064">
        <v>0</v>
      </c>
    </row>
    <row r="293" spans="1:21" ht="26">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6" t="s">
        <v>1455</v>
      </c>
      <c r="U293" s="3064">
        <v>0</v>
      </c>
    </row>
    <row r="294" spans="1:21" ht="26">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6" t="s">
        <v>1460</v>
      </c>
      <c r="U294" s="3064">
        <v>0</v>
      </c>
    </row>
    <row r="295" spans="1:21" ht="26">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6" t="s">
        <v>1466</v>
      </c>
      <c r="U295" s="3064">
        <v>0</v>
      </c>
    </row>
    <row r="296" spans="1:21" ht="26">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6" t="s">
        <v>1471</v>
      </c>
      <c r="U296" s="3064">
        <v>0</v>
      </c>
    </row>
    <row r="297" spans="1:21" ht="26">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6" t="s">
        <v>1477</v>
      </c>
      <c r="U297" s="3064">
        <v>0</v>
      </c>
    </row>
    <row r="298" spans="1:21" ht="26">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6" t="s">
        <v>1482</v>
      </c>
      <c r="U298" s="3064">
        <v>0</v>
      </c>
    </row>
    <row r="299" spans="1:21" ht="26">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6" t="s">
        <v>1487</v>
      </c>
      <c r="U299" s="3064">
        <v>0</v>
      </c>
    </row>
    <row r="300" spans="1:21" ht="26">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6" t="s">
        <v>1492</v>
      </c>
      <c r="U300" s="3064">
        <v>0</v>
      </c>
    </row>
    <row r="301" spans="1:21" ht="26">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6" t="s">
        <v>1497</v>
      </c>
      <c r="U301" s="3064">
        <v>0</v>
      </c>
    </row>
    <row r="302" spans="1:21" ht="26">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6" t="s">
        <v>1502</v>
      </c>
      <c r="U302" s="3064">
        <v>0</v>
      </c>
    </row>
    <row r="303" spans="1:21" ht="26">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6" t="s">
        <v>1507</v>
      </c>
      <c r="U303" s="3064">
        <v>0</v>
      </c>
    </row>
    <row r="304" spans="1:21" ht="26">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6" t="s">
        <v>1512</v>
      </c>
      <c r="U304" s="3064">
        <v>0</v>
      </c>
    </row>
    <row r="305" spans="1:21" ht="26">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6" t="s">
        <v>1517</v>
      </c>
      <c r="U305" s="3064">
        <v>0</v>
      </c>
    </row>
    <row r="306" spans="1:21" ht="26">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6" t="s">
        <v>1522</v>
      </c>
      <c r="U306" s="3064">
        <v>0</v>
      </c>
    </row>
    <row r="307" spans="1:21" ht="26">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6" t="s">
        <v>1525</v>
      </c>
      <c r="U307" s="3064"/>
    </row>
    <row r="308" spans="1:21" ht="26">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6" t="s">
        <v>1530</v>
      </c>
      <c r="U308" s="3064">
        <v>0</v>
      </c>
    </row>
    <row r="309" spans="1:21" ht="26">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6" t="s">
        <v>1535</v>
      </c>
      <c r="U309" s="3064">
        <v>0</v>
      </c>
    </row>
    <row r="310" spans="1:21" ht="26">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6" t="s">
        <v>1540</v>
      </c>
      <c r="U310" s="3064">
        <v>0</v>
      </c>
    </row>
    <row r="311" spans="1:21" ht="26">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6" t="s">
        <v>1546</v>
      </c>
      <c r="U311" s="3064">
        <v>0</v>
      </c>
    </row>
    <row r="312" spans="1:21" ht="26">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6" t="s">
        <v>1551</v>
      </c>
      <c r="U312" s="3064">
        <v>0</v>
      </c>
    </row>
    <row r="313" spans="1:21" ht="26">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6" t="s">
        <v>1556</v>
      </c>
      <c r="U313" s="3064">
        <v>0</v>
      </c>
    </row>
    <row r="314" spans="1:21" ht="26">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6" t="s">
        <v>1561</v>
      </c>
      <c r="U314" s="3064">
        <v>0</v>
      </c>
    </row>
    <row r="315" spans="1:21" ht="26">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6" t="s">
        <v>1566</v>
      </c>
      <c r="U315" s="3064">
        <v>0</v>
      </c>
    </row>
    <row r="316" spans="1:21" ht="26">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6" t="s">
        <v>1571</v>
      </c>
      <c r="U316" s="3064">
        <v>0</v>
      </c>
    </row>
    <row r="317" spans="1:21" ht="26">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6" t="s">
        <v>1576</v>
      </c>
      <c r="U317" s="3064">
        <v>0</v>
      </c>
    </row>
    <row r="318" spans="1:21" ht="26">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6" t="s">
        <v>1586</v>
      </c>
      <c r="U318" s="3064">
        <v>0</v>
      </c>
    </row>
    <row r="319" spans="1:21" ht="26">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6" t="s">
        <v>1581</v>
      </c>
      <c r="U319" s="3064">
        <v>0</v>
      </c>
    </row>
    <row r="320" spans="1:21" ht="26">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6" t="s">
        <v>1591</v>
      </c>
      <c r="U320" s="3064">
        <v>0</v>
      </c>
    </row>
    <row r="321" spans="1:21" ht="26">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6" t="s">
        <v>1596</v>
      </c>
      <c r="U321" s="3064">
        <v>0</v>
      </c>
    </row>
    <row r="322" spans="1:21" ht="26">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6" t="s">
        <v>1600</v>
      </c>
      <c r="U322" s="3064">
        <v>0</v>
      </c>
    </row>
    <row r="323" spans="1:21" ht="26">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6" t="s">
        <v>1605</v>
      </c>
      <c r="U323" s="3064">
        <v>0</v>
      </c>
    </row>
    <row r="324" spans="1:21" ht="26">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6" t="s">
        <v>1609</v>
      </c>
      <c r="U324" s="3064">
        <v>0</v>
      </c>
    </row>
    <row r="325" spans="1:21" ht="26">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6" t="s">
        <v>1614</v>
      </c>
      <c r="U325" s="3064">
        <v>0</v>
      </c>
    </row>
    <row r="326" spans="1:21" ht="26">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6" t="s">
        <v>1618</v>
      </c>
      <c r="U326" s="3064">
        <v>0</v>
      </c>
    </row>
    <row r="327" spans="1:21" ht="26">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6" t="s">
        <v>1623</v>
      </c>
      <c r="U327" s="3064">
        <v>0</v>
      </c>
    </row>
    <row r="328" spans="1:21" ht="26">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6" t="s">
        <v>1629</v>
      </c>
      <c r="U328" s="3064">
        <v>0</v>
      </c>
    </row>
    <row r="329" spans="1:21" ht="26">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6" t="s">
        <v>1634</v>
      </c>
      <c r="U329" s="3064">
        <v>0</v>
      </c>
    </row>
    <row r="330" spans="1:21" ht="17">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6" t="s">
        <v>1639</v>
      </c>
      <c r="U330" s="3064">
        <v>0</v>
      </c>
    </row>
    <row r="331" spans="1:21" ht="26">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6" t="s">
        <v>1644</v>
      </c>
      <c r="U331" s="3064">
        <v>0</v>
      </c>
    </row>
    <row r="332" spans="1:21" ht="26">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6" t="s">
        <v>1649</v>
      </c>
      <c r="U332" s="3064">
        <v>0</v>
      </c>
    </row>
    <row r="333" spans="1:21" ht="26">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6" t="s">
        <v>1654</v>
      </c>
      <c r="U333" s="3064">
        <v>0</v>
      </c>
    </row>
    <row r="334" spans="1:21" ht="26">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6" t="s">
        <v>1659</v>
      </c>
      <c r="U334" s="3064">
        <v>0</v>
      </c>
    </row>
    <row r="335" spans="1:21" ht="26">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6" t="s">
        <v>1664</v>
      </c>
      <c r="U335" s="3064">
        <v>0</v>
      </c>
    </row>
    <row r="336" spans="1:21" ht="26">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6" t="s">
        <v>1668</v>
      </c>
      <c r="U336" s="3064">
        <v>0</v>
      </c>
    </row>
    <row r="337" spans="1:21" ht="26">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6">
        <v>8200</v>
      </c>
      <c r="U337" s="3064">
        <v>0</v>
      </c>
    </row>
    <row r="338" spans="1:21" ht="26">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6">
        <v>8201</v>
      </c>
      <c r="U338" s="3064">
        <v>0</v>
      </c>
    </row>
    <row r="339" spans="1:21" ht="26">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6">
        <v>8202</v>
      </c>
      <c r="U339" s="3064">
        <v>0</v>
      </c>
    </row>
    <row r="340" spans="1:21" ht="26">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6">
        <v>8203</v>
      </c>
      <c r="U340" s="3064">
        <v>0</v>
      </c>
    </row>
    <row r="341" spans="1:21" ht="26">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6">
        <v>8204</v>
      </c>
      <c r="U341" s="3064">
        <v>0</v>
      </c>
    </row>
    <row r="342" spans="1:21" ht="17">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6">
        <v>8209</v>
      </c>
      <c r="U342" s="3064">
        <v>0</v>
      </c>
    </row>
    <row r="343" spans="1:21" ht="26">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6">
        <v>8210</v>
      </c>
      <c r="U343" s="3064">
        <v>0</v>
      </c>
    </row>
    <row r="344" spans="1:21" ht="26">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6">
        <v>8290</v>
      </c>
      <c r="U344" s="3064">
        <v>0</v>
      </c>
    </row>
    <row r="345" spans="1:21" ht="26">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6">
        <v>8221</v>
      </c>
      <c r="U345" s="3064">
        <v>0</v>
      </c>
    </row>
    <row r="346" spans="1:21" ht="26">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6">
        <v>8230</v>
      </c>
      <c r="U346" s="3064">
        <v>0</v>
      </c>
    </row>
    <row r="347" spans="1:21" ht="26">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6">
        <v>8240</v>
      </c>
      <c r="U347" s="3064">
        <v>0</v>
      </c>
    </row>
    <row r="348" spans="1:21" ht="26">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6">
        <v>8250</v>
      </c>
      <c r="U348" s="3064">
        <v>0</v>
      </c>
    </row>
    <row r="349" spans="1:21" ht="26">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6">
        <v>8251</v>
      </c>
      <c r="U349" s="3064">
        <v>0</v>
      </c>
    </row>
    <row r="350" spans="1:21" ht="26">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6">
        <v>8253</v>
      </c>
      <c r="U350" s="3064">
        <v>0</v>
      </c>
    </row>
    <row r="351" spans="1:21" ht="26">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6">
        <v>8252</v>
      </c>
      <c r="U351" s="3064">
        <v>0</v>
      </c>
    </row>
    <row r="352" spans="1:21" ht="26">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6">
        <v>8256</v>
      </c>
      <c r="U352" s="3064">
        <v>0</v>
      </c>
    </row>
    <row r="353" spans="1:21" ht="26">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6">
        <v>8260</v>
      </c>
      <c r="U353" s="3064">
        <v>0</v>
      </c>
    </row>
    <row r="354" spans="1:21" ht="26">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6">
        <v>8261</v>
      </c>
      <c r="U354" s="3064">
        <v>0</v>
      </c>
    </row>
    <row r="355" spans="1:21" ht="26">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6">
        <v>8262</v>
      </c>
      <c r="U355" s="3064">
        <v>0</v>
      </c>
    </row>
    <row r="356" spans="1:21" ht="26">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6">
        <v>8263</v>
      </c>
      <c r="U356" s="3064">
        <v>0</v>
      </c>
    </row>
    <row r="357" spans="1:21" ht="26">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6">
        <v>8266</v>
      </c>
      <c r="U357" s="3064">
        <v>0</v>
      </c>
    </row>
    <row r="358" spans="1:21" ht="26">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6">
        <v>8270</v>
      </c>
      <c r="U358" s="3064">
        <v>0</v>
      </c>
    </row>
    <row r="359" spans="1:21" ht="26">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6">
        <v>8271</v>
      </c>
      <c r="U359" s="3064">
        <v>0</v>
      </c>
    </row>
    <row r="360" spans="1:21" ht="26">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6">
        <v>8272</v>
      </c>
      <c r="U360" s="3064">
        <v>0</v>
      </c>
    </row>
    <row r="361" spans="1:21" ht="17">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6">
        <v>8273</v>
      </c>
      <c r="U361" s="3064">
        <v>0</v>
      </c>
    </row>
    <row r="362" spans="1:21" ht="17">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6">
        <v>8275</v>
      </c>
      <c r="U362" s="3064">
        <v>0</v>
      </c>
    </row>
    <row r="363" spans="1:21" ht="26">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6">
        <v>8276</v>
      </c>
      <c r="U363" s="3064">
        <v>0</v>
      </c>
    </row>
    <row r="364" spans="1:21" ht="26">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6">
        <v>8280</v>
      </c>
      <c r="U364" s="3064">
        <v>0</v>
      </c>
    </row>
    <row r="365" spans="1:21" ht="26">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6">
        <v>8281</v>
      </c>
      <c r="U365" s="3064">
        <v>0</v>
      </c>
    </row>
    <row r="366" spans="1:21" ht="26">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6">
        <v>8282</v>
      </c>
      <c r="U366" s="3064">
        <v>0</v>
      </c>
    </row>
    <row r="367" spans="1:21" ht="17">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6">
        <v>8296</v>
      </c>
      <c r="U367" s="3064">
        <v>0</v>
      </c>
    </row>
    <row r="368" spans="1:21" ht="17">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6">
        <v>8299</v>
      </c>
      <c r="U368" s="3064">
        <v>0</v>
      </c>
    </row>
    <row r="369" spans="1:21" ht="17">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6">
        <v>8300</v>
      </c>
      <c r="U369" s="3064">
        <v>0</v>
      </c>
    </row>
    <row r="370" spans="1:21" ht="17">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6">
        <v>8301</v>
      </c>
      <c r="U370" s="3064">
        <v>0</v>
      </c>
    </row>
    <row r="371" spans="1:21" ht="17">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6">
        <v>8302</v>
      </c>
      <c r="U371" s="3064">
        <v>0</v>
      </c>
    </row>
    <row r="372" spans="1:21" ht="26">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6">
        <v>8303</v>
      </c>
      <c r="U372" s="3064">
        <v>0</v>
      </c>
    </row>
    <row r="373" spans="1:21" ht="17">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6">
        <v>8304</v>
      </c>
      <c r="U373" s="3064">
        <v>0</v>
      </c>
    </row>
    <row r="374" spans="1:21" ht="26">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6">
        <v>8309</v>
      </c>
      <c r="U374" s="3064">
        <v>0</v>
      </c>
    </row>
    <row r="375" spans="1:21" ht="17">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6">
        <v>8310</v>
      </c>
      <c r="U375" s="3064">
        <v>0</v>
      </c>
    </row>
    <row r="376" spans="1:21" ht="26">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6">
        <v>8390</v>
      </c>
      <c r="U376" s="3064">
        <v>0</v>
      </c>
    </row>
    <row r="377" spans="1:21" ht="17">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6">
        <v>8321</v>
      </c>
      <c r="U377" s="3064">
        <v>0</v>
      </c>
    </row>
    <row r="378" spans="1:21" ht="17">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6">
        <v>8330</v>
      </c>
      <c r="U378" s="3064">
        <v>0</v>
      </c>
    </row>
    <row r="379" spans="1:21" ht="26">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6">
        <v>8340</v>
      </c>
      <c r="U379" s="3064">
        <v>0</v>
      </c>
    </row>
    <row r="380" spans="1:21" ht="26">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6">
        <v>8350</v>
      </c>
      <c r="U380" s="3064">
        <v>0</v>
      </c>
    </row>
    <row r="381" spans="1:21" ht="17">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6">
        <v>8351</v>
      </c>
      <c r="U381" s="3064">
        <v>0</v>
      </c>
    </row>
    <row r="382" spans="1:21" ht="17">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6">
        <v>8353</v>
      </c>
      <c r="U382" s="3064">
        <v>0</v>
      </c>
    </row>
    <row r="383" spans="1:21" ht="17">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6">
        <v>8352</v>
      </c>
      <c r="U383" s="3064">
        <v>0</v>
      </c>
    </row>
    <row r="384" spans="1:21" ht="26">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6">
        <v>8356</v>
      </c>
      <c r="U384" s="3064">
        <v>0</v>
      </c>
    </row>
    <row r="385" spans="1:21" ht="26">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6">
        <v>8360</v>
      </c>
      <c r="U385" s="3064">
        <v>0</v>
      </c>
    </row>
    <row r="386" spans="1:21" ht="26">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6">
        <v>8361</v>
      </c>
      <c r="U386" s="3064">
        <v>0</v>
      </c>
    </row>
    <row r="387" spans="1:21" ht="26">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6">
        <v>8362</v>
      </c>
      <c r="U387" s="3064">
        <v>0</v>
      </c>
    </row>
    <row r="388" spans="1:21" ht="26">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6">
        <v>8363</v>
      </c>
      <c r="U388" s="3064">
        <v>0</v>
      </c>
    </row>
    <row r="389" spans="1:21" ht="17">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6">
        <v>8366</v>
      </c>
      <c r="U389" s="3064">
        <v>0</v>
      </c>
    </row>
    <row r="390" spans="1:21" ht="17">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6">
        <v>8370</v>
      </c>
      <c r="U390" s="3064">
        <v>0</v>
      </c>
    </row>
    <row r="391" spans="1:21" ht="17">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6">
        <v>8371</v>
      </c>
      <c r="U391" s="3064">
        <v>0</v>
      </c>
    </row>
    <row r="392" spans="1:21" ht="17">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6">
        <v>8372</v>
      </c>
      <c r="U392" s="3064">
        <v>0</v>
      </c>
    </row>
    <row r="393" spans="1:21" ht="17">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6">
        <v>8373</v>
      </c>
      <c r="U393" s="3064">
        <v>0</v>
      </c>
    </row>
    <row r="394" spans="1:21" ht="17">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6">
        <v>8375</v>
      </c>
      <c r="U394" s="3064">
        <v>0</v>
      </c>
    </row>
    <row r="395" spans="1:21" ht="17">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6">
        <v>8376</v>
      </c>
      <c r="U395" s="3064">
        <v>0</v>
      </c>
    </row>
    <row r="396" spans="1:21" ht="26">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6">
        <v>8380</v>
      </c>
      <c r="U396" s="3064">
        <v>0</v>
      </c>
    </row>
    <row r="397" spans="1:21" ht="26">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6">
        <v>8381</v>
      </c>
      <c r="U397" s="3064">
        <v>0</v>
      </c>
    </row>
    <row r="398" spans="1:21" ht="26">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6">
        <v>8382</v>
      </c>
      <c r="U398" s="3064">
        <v>0</v>
      </c>
    </row>
    <row r="399" spans="1:21" ht="26">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6">
        <v>8396</v>
      </c>
      <c r="U399" s="3064">
        <v>0</v>
      </c>
    </row>
    <row r="400" spans="1:21" ht="17">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6">
        <v>8399</v>
      </c>
      <c r="U400" s="3064">
        <v>0</v>
      </c>
    </row>
    <row r="401" spans="1:21" ht="17">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6" t="s">
        <v>1674</v>
      </c>
      <c r="U401" s="3064"/>
    </row>
    <row r="402" spans="1:21" ht="17">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6" t="s">
        <v>1679</v>
      </c>
      <c r="U402" s="3064">
        <v>0</v>
      </c>
    </row>
    <row r="403" spans="1:21" ht="17">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6" t="s">
        <v>1684</v>
      </c>
      <c r="U403" s="3064">
        <v>0</v>
      </c>
    </row>
    <row r="404" spans="1:21" ht="17">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6" t="s">
        <v>1689</v>
      </c>
      <c r="U404" s="3064">
        <v>0</v>
      </c>
    </row>
    <row r="405" spans="1:21" ht="26">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6" t="s">
        <v>1694</v>
      </c>
      <c r="U405" s="3064">
        <v>0</v>
      </c>
    </row>
    <row r="406" spans="1:21" ht="17">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6" t="s">
        <v>1699</v>
      </c>
      <c r="U406" s="3064">
        <v>0</v>
      </c>
    </row>
    <row r="407" spans="1:21" ht="26">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6" t="s">
        <v>1704</v>
      </c>
      <c r="U407" s="3064">
        <v>0</v>
      </c>
    </row>
    <row r="408" spans="1:21" ht="17">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6" t="s">
        <v>1709</v>
      </c>
      <c r="U408" s="3064">
        <v>0</v>
      </c>
    </row>
    <row r="409" spans="1:21" ht="26">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6" t="s">
        <v>1714</v>
      </c>
      <c r="U409" s="3064">
        <v>0</v>
      </c>
    </row>
    <row r="410" spans="1:21" ht="17">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6" t="s">
        <v>1719</v>
      </c>
      <c r="U410" s="3064">
        <v>0</v>
      </c>
    </row>
    <row r="411" spans="1:21" ht="17">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6" t="s">
        <v>1723</v>
      </c>
      <c r="U411" s="3064">
        <v>0</v>
      </c>
    </row>
    <row r="412" spans="1:21" ht="26">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6" t="s">
        <v>1733</v>
      </c>
      <c r="U412" s="3064">
        <v>0</v>
      </c>
    </row>
    <row r="413" spans="1:21" ht="17">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6" t="s">
        <v>1728</v>
      </c>
      <c r="U413" s="3064">
        <v>0</v>
      </c>
    </row>
    <row r="414" spans="1:21" ht="17">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6" t="s">
        <v>1738</v>
      </c>
      <c r="U414" s="3064">
        <v>0</v>
      </c>
    </row>
    <row r="415" spans="1:21" ht="17">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6" t="s">
        <v>1743</v>
      </c>
      <c r="U415" s="3064">
        <v>0</v>
      </c>
    </row>
    <row r="416" spans="1:21" ht="26">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6" t="s">
        <v>1748</v>
      </c>
      <c r="U416" s="3064">
        <v>0</v>
      </c>
    </row>
    <row r="417" spans="1:21" ht="26">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6" t="s">
        <v>1753</v>
      </c>
      <c r="U417" s="3064">
        <v>0</v>
      </c>
    </row>
    <row r="418" spans="1:21" ht="26">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6" t="s">
        <v>1758</v>
      </c>
      <c r="U418" s="3064">
        <v>0</v>
      </c>
    </row>
    <row r="419" spans="1:21" ht="26">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6" t="s">
        <v>1763</v>
      </c>
      <c r="U419" s="3064">
        <v>0</v>
      </c>
    </row>
    <row r="420" spans="1:21" ht="26">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6" t="s">
        <v>1768</v>
      </c>
      <c r="U420" s="3064">
        <v>0</v>
      </c>
    </row>
    <row r="421" spans="1:21" ht="17">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6" t="s">
        <v>1771</v>
      </c>
      <c r="U421" s="3064">
        <v>0</v>
      </c>
    </row>
    <row r="422" spans="1:21" ht="17">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6" t="s">
        <v>1777</v>
      </c>
      <c r="U422" s="3064">
        <v>0</v>
      </c>
    </row>
    <row r="423" spans="1:21" ht="17">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6" t="s">
        <v>1782</v>
      </c>
      <c r="U423" s="3064">
        <v>0</v>
      </c>
    </row>
    <row r="424" spans="1:21" ht="17">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6" t="s">
        <v>1787</v>
      </c>
      <c r="U424" s="3064">
        <v>0</v>
      </c>
    </row>
    <row r="425" spans="1:21" ht="17">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6" t="s">
        <v>1792</v>
      </c>
      <c r="U425" s="3064">
        <v>0</v>
      </c>
    </row>
    <row r="426" spans="1:21" ht="17">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6" t="s">
        <v>1797</v>
      </c>
      <c r="U426" s="3064">
        <v>0</v>
      </c>
    </row>
    <row r="427" spans="1:21" ht="17">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6" t="s">
        <v>1802</v>
      </c>
      <c r="U427" s="3064">
        <v>0</v>
      </c>
    </row>
    <row r="428" spans="1:21" ht="17">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6" t="s">
        <v>1807</v>
      </c>
      <c r="U428" s="3064">
        <v>0</v>
      </c>
    </row>
    <row r="429" spans="1:21" ht="26">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6" t="s">
        <v>1812</v>
      </c>
      <c r="U429" s="3064">
        <v>0</v>
      </c>
    </row>
    <row r="430" spans="1:21" ht="26">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6" t="s">
        <v>1817</v>
      </c>
      <c r="U430" s="3064">
        <v>0</v>
      </c>
    </row>
    <row r="431" spans="1:21" ht="26">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6">
        <v>8400</v>
      </c>
      <c r="U431" s="3064">
        <v>0</v>
      </c>
    </row>
    <row r="432" spans="1:21" ht="26">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6">
        <v>8401</v>
      </c>
      <c r="U432" s="3064">
        <v>0</v>
      </c>
    </row>
    <row r="433" spans="1:21" ht="17">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6">
        <v>8402</v>
      </c>
      <c r="U433" s="3064">
        <v>0</v>
      </c>
    </row>
    <row r="434" spans="1:21" ht="26">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6">
        <v>8403</v>
      </c>
      <c r="U434" s="3064">
        <v>0</v>
      </c>
    </row>
    <row r="435" spans="1:21" ht="26">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6">
        <v>8404</v>
      </c>
      <c r="U435" s="3064">
        <v>0</v>
      </c>
    </row>
    <row r="436" spans="1:21" ht="26">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6">
        <v>8409</v>
      </c>
      <c r="U436" s="3064">
        <v>0</v>
      </c>
    </row>
    <row r="437" spans="1:21" ht="17">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6">
        <v>8410</v>
      </c>
      <c r="U437" s="3064">
        <v>0</v>
      </c>
    </row>
    <row r="438" spans="1:21" ht="26">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6">
        <v>8490</v>
      </c>
      <c r="U438" s="3064">
        <v>0</v>
      </c>
    </row>
    <row r="439" spans="1:21" ht="17">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6">
        <v>8421</v>
      </c>
      <c r="U439" s="3064">
        <v>0</v>
      </c>
    </row>
    <row r="440" spans="1:21" ht="26">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6">
        <v>8430</v>
      </c>
      <c r="U440" s="3064">
        <v>0</v>
      </c>
    </row>
    <row r="441" spans="1:21" ht="26">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6">
        <v>8440</v>
      </c>
      <c r="U441" s="3064">
        <v>0</v>
      </c>
    </row>
    <row r="442" spans="1:21" ht="17">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6">
        <v>8450</v>
      </c>
      <c r="U442" s="3064">
        <v>0</v>
      </c>
    </row>
    <row r="443" spans="1:21" ht="17">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6">
        <v>8451</v>
      </c>
      <c r="U443" s="3064">
        <v>0</v>
      </c>
    </row>
    <row r="444" spans="1:21" ht="17">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6">
        <v>8453</v>
      </c>
      <c r="U444" s="3064">
        <v>0</v>
      </c>
    </row>
    <row r="445" spans="1:21" ht="17">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6">
        <v>8452</v>
      </c>
      <c r="U445" s="3064">
        <v>0</v>
      </c>
    </row>
    <row r="446" spans="1:21" ht="26">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6">
        <v>8456</v>
      </c>
      <c r="U446" s="3064">
        <v>0</v>
      </c>
    </row>
    <row r="447" spans="1:21" ht="17">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6">
        <v>8460</v>
      </c>
      <c r="U447" s="3064">
        <v>0</v>
      </c>
    </row>
    <row r="448" spans="1:21" ht="17">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6">
        <v>8461</v>
      </c>
      <c r="U448" s="3064">
        <v>0</v>
      </c>
    </row>
    <row r="449" spans="1:21" ht="17">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6">
        <v>8462</v>
      </c>
      <c r="U449" s="3064">
        <v>0</v>
      </c>
    </row>
    <row r="450" spans="1:21" ht="26">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6">
        <v>8463</v>
      </c>
      <c r="U450" s="3064">
        <v>0</v>
      </c>
    </row>
    <row r="451" spans="1:21" ht="26">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6">
        <v>8466</v>
      </c>
      <c r="U451" s="3064">
        <v>0</v>
      </c>
    </row>
    <row r="452" spans="1:21" ht="26">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6">
        <v>8470</v>
      </c>
      <c r="U452" s="3064">
        <v>0</v>
      </c>
    </row>
    <row r="453" spans="1:21" ht="26">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6">
        <v>8471</v>
      </c>
      <c r="U453" s="3064">
        <v>0</v>
      </c>
    </row>
    <row r="454" spans="1:21" ht="17">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6">
        <v>8472</v>
      </c>
      <c r="U454" s="3064">
        <v>0</v>
      </c>
    </row>
    <row r="455" spans="1:21" ht="17">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6">
        <v>8473</v>
      </c>
      <c r="U455" s="3064">
        <v>0</v>
      </c>
    </row>
    <row r="456" spans="1:21" ht="17">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6">
        <v>8475</v>
      </c>
      <c r="U456" s="3064">
        <v>0</v>
      </c>
    </row>
    <row r="457" spans="1:21" ht="17">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6">
        <v>8476</v>
      </c>
      <c r="U457" s="3064">
        <v>0</v>
      </c>
    </row>
    <row r="458" spans="1:21" ht="17">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6">
        <v>8480</v>
      </c>
      <c r="U458" s="3064">
        <v>0</v>
      </c>
    </row>
    <row r="459" spans="1:21" ht="17">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6">
        <v>8481</v>
      </c>
      <c r="U459" s="3064">
        <v>0</v>
      </c>
    </row>
    <row r="460" spans="1:21" ht="26">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6">
        <v>8482</v>
      </c>
      <c r="U460" s="3064">
        <v>0</v>
      </c>
    </row>
    <row r="461" spans="1:21" ht="26">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6">
        <v>8496</v>
      </c>
      <c r="U461" s="3064">
        <v>0</v>
      </c>
    </row>
    <row r="462" spans="1:21" ht="26">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6">
        <v>8499</v>
      </c>
      <c r="U462" s="3064">
        <v>0</v>
      </c>
    </row>
    <row r="463" spans="1:21" ht="26">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6">
        <v>8500</v>
      </c>
      <c r="U463" s="3064">
        <v>0</v>
      </c>
    </row>
    <row r="464" spans="1:21" ht="17">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6">
        <v>8501</v>
      </c>
      <c r="U464" s="3064">
        <v>0</v>
      </c>
    </row>
    <row r="465" spans="1:21" ht="17">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6">
        <v>8502</v>
      </c>
      <c r="U465" s="3064">
        <v>0</v>
      </c>
    </row>
    <row r="466" spans="1:21" ht="17">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6">
        <v>8503</v>
      </c>
      <c r="U466" s="3064">
        <v>0</v>
      </c>
    </row>
    <row r="467" spans="1:21" ht="17">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6">
        <v>8504</v>
      </c>
      <c r="U467" s="3064">
        <v>0</v>
      </c>
    </row>
    <row r="468" spans="1:21" ht="17">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6">
        <v>8509</v>
      </c>
      <c r="U468" s="3064">
        <v>0</v>
      </c>
    </row>
    <row r="469" spans="1:21" ht="26">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6">
        <v>8510</v>
      </c>
      <c r="U469" s="3064">
        <v>0</v>
      </c>
    </row>
    <row r="470" spans="1:21" ht="26">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6">
        <v>8590</v>
      </c>
      <c r="U470" s="3064">
        <v>0</v>
      </c>
    </row>
    <row r="471" spans="1:21" ht="26">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6">
        <v>8521</v>
      </c>
      <c r="U471" s="3064">
        <v>0</v>
      </c>
    </row>
    <row r="472" spans="1:21" ht="26">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6">
        <v>8530</v>
      </c>
      <c r="U472" s="3064">
        <v>0</v>
      </c>
    </row>
    <row r="473" spans="1:21" ht="26">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6">
        <v>8540</v>
      </c>
      <c r="U473" s="3064">
        <v>0</v>
      </c>
    </row>
    <row r="474" spans="1:21" ht="17">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6">
        <v>8550</v>
      </c>
      <c r="U474" s="3064">
        <v>0</v>
      </c>
    </row>
    <row r="475" spans="1:21" ht="17">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6">
        <v>8551</v>
      </c>
      <c r="U475" s="3064">
        <v>0</v>
      </c>
    </row>
    <row r="476" spans="1:21" ht="26">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6">
        <v>8553</v>
      </c>
      <c r="U476" s="3064">
        <v>0</v>
      </c>
    </row>
    <row r="477" spans="1:21" ht="26">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6">
        <v>8552</v>
      </c>
      <c r="U477" s="3064">
        <v>0</v>
      </c>
    </row>
    <row r="478" spans="1:21" ht="17">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6">
        <v>8556</v>
      </c>
      <c r="U478" s="3064">
        <v>0</v>
      </c>
    </row>
    <row r="479" spans="1:21" ht="17">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6">
        <v>8560</v>
      </c>
      <c r="U479" s="3064">
        <v>0</v>
      </c>
    </row>
    <row r="480" spans="1:21" ht="26">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6">
        <v>8561</v>
      </c>
      <c r="U480" s="3064">
        <v>0</v>
      </c>
    </row>
    <row r="481" spans="1:21" ht="26">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6">
        <v>8562</v>
      </c>
      <c r="U481" s="3064">
        <v>0</v>
      </c>
    </row>
    <row r="482" spans="1:21" ht="26">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6">
        <v>8563</v>
      </c>
      <c r="U482" s="3064">
        <v>0</v>
      </c>
    </row>
    <row r="483" spans="1:21" ht="26">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6">
        <v>8566</v>
      </c>
      <c r="U483" s="3064">
        <v>0</v>
      </c>
    </row>
    <row r="484" spans="1:21" ht="26">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6">
        <v>8570</v>
      </c>
      <c r="U484" s="3064">
        <v>0</v>
      </c>
    </row>
    <row r="485" spans="1:21" ht="26">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6">
        <v>8571</v>
      </c>
      <c r="U485" s="3064">
        <v>0</v>
      </c>
    </row>
    <row r="486" spans="1:21" ht="17">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6">
        <v>8572</v>
      </c>
      <c r="U486" s="3064">
        <v>0</v>
      </c>
    </row>
    <row r="487" spans="1:21" ht="17">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6">
        <v>8573</v>
      </c>
      <c r="U487" s="3064">
        <v>0</v>
      </c>
    </row>
    <row r="488" spans="1:21" ht="17">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6">
        <v>8575</v>
      </c>
      <c r="U488" s="3064">
        <v>0</v>
      </c>
    </row>
    <row r="489" spans="1:21" ht="17">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6">
        <v>8576</v>
      </c>
      <c r="U489" s="3064">
        <v>0</v>
      </c>
    </row>
    <row r="490" spans="1:21" ht="17">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6">
        <v>8580</v>
      </c>
      <c r="U490" s="3064">
        <v>0</v>
      </c>
    </row>
    <row r="491" spans="1:21" ht="17">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6">
        <v>8581</v>
      </c>
      <c r="U491" s="3064">
        <v>0</v>
      </c>
    </row>
    <row r="492" spans="1:21" ht="17">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6">
        <v>8582</v>
      </c>
      <c r="U492" s="3064">
        <v>0</v>
      </c>
    </row>
    <row r="493" spans="1:21" ht="26">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6">
        <v>8596</v>
      </c>
      <c r="U493" s="3064">
        <v>0</v>
      </c>
    </row>
    <row r="494" spans="1:21" ht="26">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6">
        <v>8599</v>
      </c>
      <c r="U494" s="3064">
        <v>0</v>
      </c>
    </row>
    <row r="495" spans="1:21" ht="26">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6">
        <v>8600</v>
      </c>
      <c r="U495" s="3064">
        <v>0</v>
      </c>
    </row>
    <row r="496" spans="1:21" ht="26">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6">
        <v>8601</v>
      </c>
      <c r="U496" s="3064">
        <v>0</v>
      </c>
    </row>
    <row r="497" spans="1:21" ht="17">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6">
        <v>8602</v>
      </c>
      <c r="U497" s="3064">
        <v>0</v>
      </c>
    </row>
    <row r="498" spans="1:21" ht="17">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6">
        <v>8603</v>
      </c>
      <c r="U498" s="3064">
        <v>0</v>
      </c>
    </row>
    <row r="499" spans="1:21" ht="17">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6">
        <v>8604</v>
      </c>
      <c r="U499" s="3064">
        <v>0</v>
      </c>
    </row>
    <row r="500" spans="1:21" ht="17">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6">
        <v>8609</v>
      </c>
      <c r="U500" s="3064">
        <v>0</v>
      </c>
    </row>
    <row r="501" spans="1:21" ht="17">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6">
        <v>8610</v>
      </c>
      <c r="U501" s="3064">
        <v>0</v>
      </c>
    </row>
    <row r="502" spans="1:21" ht="26">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6">
        <v>8690</v>
      </c>
      <c r="U502" s="3064">
        <v>0</v>
      </c>
    </row>
    <row r="503" spans="1:21" ht="26">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6">
        <v>8621</v>
      </c>
      <c r="U503" s="3064">
        <v>0</v>
      </c>
    </row>
    <row r="504" spans="1:21" ht="26">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6">
        <v>8630</v>
      </c>
      <c r="U504" s="3064">
        <v>0</v>
      </c>
    </row>
    <row r="505" spans="1:21" ht="26">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6">
        <v>8640</v>
      </c>
      <c r="U505" s="3064">
        <v>0</v>
      </c>
    </row>
    <row r="506" spans="1:21" ht="26">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6">
        <v>8650</v>
      </c>
      <c r="U506" s="3064">
        <v>0</v>
      </c>
    </row>
    <row r="507" spans="1:21" ht="17">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6">
        <v>8651</v>
      </c>
      <c r="U507" s="3064">
        <v>0</v>
      </c>
    </row>
    <row r="508" spans="1:21" ht="17">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6">
        <v>8653</v>
      </c>
      <c r="U508" s="3064">
        <v>0</v>
      </c>
    </row>
    <row r="509" spans="1:21" ht="26">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6">
        <v>8652</v>
      </c>
      <c r="U509" s="3064">
        <v>0</v>
      </c>
    </row>
    <row r="510" spans="1:21" ht="17">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6">
        <v>8656</v>
      </c>
      <c r="U510" s="3064">
        <v>0</v>
      </c>
    </row>
    <row r="511" spans="1:21" ht="17">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6">
        <v>8660</v>
      </c>
      <c r="U511" s="3064">
        <v>0</v>
      </c>
    </row>
    <row r="512" spans="1:21" ht="17">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6">
        <v>8661</v>
      </c>
      <c r="U512" s="3064">
        <v>0</v>
      </c>
    </row>
    <row r="513" spans="1:21" ht="26">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6">
        <v>8662</v>
      </c>
      <c r="U513" s="3064">
        <v>0</v>
      </c>
    </row>
    <row r="514" spans="1:21" ht="17">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6">
        <v>8663</v>
      </c>
      <c r="U514" s="3064">
        <v>0</v>
      </c>
    </row>
    <row r="515" spans="1:21" ht="17">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6">
        <v>8666</v>
      </c>
      <c r="U515" s="3064">
        <v>0</v>
      </c>
    </row>
    <row r="516" spans="1:21" ht="26">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6">
        <v>8670</v>
      </c>
      <c r="U516" s="3064">
        <v>0</v>
      </c>
    </row>
    <row r="517" spans="1:21" ht="26">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6">
        <v>8671</v>
      </c>
      <c r="U517" s="3064">
        <v>0</v>
      </c>
    </row>
    <row r="518" spans="1:21" ht="26">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6">
        <v>8672</v>
      </c>
      <c r="U518" s="3064">
        <v>0</v>
      </c>
    </row>
    <row r="519" spans="1:21" ht="17">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6">
        <v>8673</v>
      </c>
      <c r="U519" s="3064">
        <v>0</v>
      </c>
    </row>
    <row r="520" spans="1:21" ht="17">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6">
        <v>8675</v>
      </c>
      <c r="U520" s="3064">
        <v>0</v>
      </c>
    </row>
    <row r="521" spans="1:21" ht="17">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6">
        <v>8676</v>
      </c>
      <c r="U521" s="3064">
        <v>0</v>
      </c>
    </row>
    <row r="522" spans="1:21" ht="17">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6">
        <v>8680</v>
      </c>
      <c r="U522" s="3064">
        <v>0</v>
      </c>
    </row>
    <row r="523" spans="1:21" ht="17">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6">
        <v>8681</v>
      </c>
      <c r="U523" s="3064">
        <v>0</v>
      </c>
    </row>
    <row r="524" spans="1:21" ht="17">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6">
        <v>8682</v>
      </c>
      <c r="U524" s="3064">
        <v>0</v>
      </c>
    </row>
    <row r="525" spans="1:21" ht="17">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6">
        <v>8696</v>
      </c>
      <c r="U525" s="3064">
        <v>0</v>
      </c>
    </row>
    <row r="526" spans="1:21" ht="26">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6">
        <v>8699</v>
      </c>
      <c r="U526" s="3064">
        <v>0</v>
      </c>
    </row>
    <row r="527" spans="1:21" ht="26">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6">
        <v>8700</v>
      </c>
      <c r="U527" s="3064">
        <v>0</v>
      </c>
    </row>
    <row r="528" spans="1:21" ht="26">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6">
        <v>8701</v>
      </c>
      <c r="U528" s="3064">
        <v>0</v>
      </c>
    </row>
    <row r="529" spans="1:21" ht="26">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6">
        <v>8702</v>
      </c>
      <c r="U529" s="3064">
        <v>0</v>
      </c>
    </row>
    <row r="530" spans="1:21" ht="17">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6">
        <v>8703</v>
      </c>
      <c r="U530" s="3064">
        <v>0</v>
      </c>
    </row>
    <row r="531" spans="1:21" ht="17">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6">
        <v>8704</v>
      </c>
      <c r="U531" s="3064">
        <v>0</v>
      </c>
    </row>
    <row r="532" spans="1:21" ht="17">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6">
        <v>8709</v>
      </c>
      <c r="U532" s="3064">
        <v>0</v>
      </c>
    </row>
    <row r="533" spans="1:21" ht="26">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6">
        <v>8710</v>
      </c>
      <c r="U533" s="3064">
        <v>0</v>
      </c>
    </row>
    <row r="534" spans="1:21" ht="26">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6">
        <v>8790</v>
      </c>
      <c r="U534" s="3064">
        <v>-1714.32</v>
      </c>
    </row>
    <row r="535" spans="1:21" ht="26">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6">
        <v>8721</v>
      </c>
      <c r="U535" s="3064">
        <v>-1714.32</v>
      </c>
    </row>
    <row r="536" spans="1:21" ht="26">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6">
        <v>8730</v>
      </c>
      <c r="U536" s="3064"/>
    </row>
    <row r="537" spans="1:21" ht="26">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6">
        <v>8740</v>
      </c>
      <c r="U537" s="3064">
        <v>-1714.32</v>
      </c>
    </row>
    <row r="538" spans="1:21" ht="26">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6">
        <v>8750</v>
      </c>
      <c r="U538" s="3064">
        <v>0</v>
      </c>
    </row>
    <row r="539" spans="1:21" ht="26">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6">
        <v>8751</v>
      </c>
      <c r="U539" s="3064">
        <v>0</v>
      </c>
    </row>
    <row r="540" spans="1:21" ht="17">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6">
        <v>8753</v>
      </c>
      <c r="U540" s="3064">
        <v>0</v>
      </c>
    </row>
    <row r="541" spans="1:21" ht="26">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6">
        <v>8752</v>
      </c>
      <c r="U541" s="3064">
        <v>0</v>
      </c>
    </row>
    <row r="542" spans="1:21" ht="17">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6">
        <v>8756</v>
      </c>
      <c r="U542" s="3064">
        <v>0</v>
      </c>
    </row>
    <row r="543" spans="1:21" ht="26">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6">
        <v>8760</v>
      </c>
      <c r="U543" s="3064">
        <v>0</v>
      </c>
    </row>
    <row r="544" spans="1:21" ht="17">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6">
        <v>8761</v>
      </c>
      <c r="U544" s="3064">
        <v>0</v>
      </c>
    </row>
    <row r="545" spans="1:21" ht="26">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6">
        <v>8762</v>
      </c>
      <c r="U545" s="3064">
        <v>0</v>
      </c>
    </row>
    <row r="546" spans="1:21" ht="26">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6">
        <v>8763</v>
      </c>
      <c r="U546" s="3064">
        <v>0</v>
      </c>
    </row>
    <row r="547" spans="1:21" ht="26">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6">
        <v>8766</v>
      </c>
      <c r="U547" s="3064">
        <v>0</v>
      </c>
    </row>
    <row r="548" spans="1:21" ht="26">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6">
        <v>8770</v>
      </c>
      <c r="U548" s="3064">
        <v>0</v>
      </c>
    </row>
    <row r="549" spans="1:21" ht="26">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6">
        <v>8771</v>
      </c>
      <c r="U549" s="3064">
        <v>0</v>
      </c>
    </row>
    <row r="550" spans="1:21" ht="26">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6">
        <v>8772</v>
      </c>
      <c r="U550" s="3064">
        <v>0</v>
      </c>
    </row>
    <row r="551" spans="1:21" ht="26">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6">
        <v>8773</v>
      </c>
      <c r="U551" s="3064">
        <v>0</v>
      </c>
    </row>
    <row r="552" spans="1:21" ht="17">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6">
        <v>8775</v>
      </c>
      <c r="U552" s="3064">
        <v>0</v>
      </c>
    </row>
    <row r="553" spans="1:21" ht="17">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6">
        <v>8776</v>
      </c>
      <c r="U553" s="3064">
        <v>0</v>
      </c>
    </row>
    <row r="554" spans="1:21" ht="17">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6">
        <v>8780</v>
      </c>
      <c r="U554" s="3064">
        <v>0</v>
      </c>
    </row>
    <row r="555" spans="1:21" ht="17">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6">
        <v>8781</v>
      </c>
      <c r="U555" s="3064">
        <v>0</v>
      </c>
    </row>
    <row r="556" spans="1:21" ht="17">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6">
        <v>8782</v>
      </c>
      <c r="U556" s="3064">
        <v>0</v>
      </c>
    </row>
    <row r="557" spans="1:21" ht="17">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6">
        <v>8796</v>
      </c>
      <c r="U557" s="3064">
        <v>0</v>
      </c>
    </row>
    <row r="558" spans="1:21" ht="17">
      <c r="A558" s="1648">
        <f t="shared" si="211"/>
        <v>0</v>
      </c>
      <c r="B558" s="1647">
        <f t="shared" si="212"/>
        <v>-1</v>
      </c>
      <c r="C558" s="1647" t="str">
        <f t="shared" si="210"/>
        <v>J</v>
      </c>
      <c r="D558" s="1659">
        <v>8701</v>
      </c>
      <c r="E558" s="888" t="str">
        <f t="shared" si="213"/>
        <v>未分配利润_上年年末余额</v>
      </c>
      <c r="F558" s="884">
        <f t="shared" si="208"/>
        <v>-1714.32</v>
      </c>
      <c r="G558" s="885">
        <f>SUMIF(AJE!$B:$B,$C558&amp;$D558&amp;"*",AJE!$O:$O)</f>
        <v>0</v>
      </c>
      <c r="H558" s="885">
        <f>SUMIF(AJE!$B:$B,$C558&amp;$D558&amp;"*",AJE!$P:$P)</f>
        <v>0</v>
      </c>
      <c r="I558" s="913">
        <f t="shared" si="215"/>
        <v>-1714.32</v>
      </c>
      <c r="J558" s="914">
        <f t="shared" si="216"/>
        <v>0</v>
      </c>
      <c r="K558" s="885">
        <f>SUMIF('AJE1'!$B:$B,$C558&amp;$D558&amp;"*",'AJE1'!$O:$O)</f>
        <v>0</v>
      </c>
      <c r="L558" s="885">
        <f>SUMIF('AJE1'!$B:$B,$C558&amp;$D558&amp;"*",'AJE1'!$P:$P)</f>
        <v>0</v>
      </c>
      <c r="M558" s="891">
        <f t="shared" si="217"/>
        <v>0</v>
      </c>
      <c r="N558" s="641"/>
      <c r="O558" s="641"/>
      <c r="P558" s="641"/>
      <c r="Q558" s="641"/>
      <c r="T558" s="3056">
        <v>8799</v>
      </c>
      <c r="U558" s="3064">
        <v>-1714.32</v>
      </c>
    </row>
    <row r="559" spans="1:21" ht="26">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6">
        <v>8800</v>
      </c>
      <c r="U559" s="3064">
        <v>0</v>
      </c>
    </row>
    <row r="560" spans="1:21" ht="26">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6">
        <v>8801</v>
      </c>
      <c r="U560" s="3064">
        <v>0</v>
      </c>
    </row>
    <row r="561" spans="1:21" ht="26">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6">
        <v>8802</v>
      </c>
      <c r="U561" s="3064">
        <v>0</v>
      </c>
    </row>
    <row r="562" spans="1:21" ht="26">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6">
        <v>8803</v>
      </c>
      <c r="U562" s="3064">
        <v>0</v>
      </c>
    </row>
    <row r="563" spans="1:21" ht="17">
      <c r="A563" s="1648" t="str">
        <f t="shared" si="211"/>
        <v>＝</v>
      </c>
      <c r="B563" s="1647">
        <f t="shared" si="212"/>
        <v>0</v>
      </c>
      <c r="C563" s="1647">
        <f t="shared" si="210"/>
        <v>0</v>
      </c>
      <c r="D563" s="1659">
        <v>8710</v>
      </c>
      <c r="E563" s="888" t="str">
        <f t="shared" si="213"/>
        <v>未分配利润_本年年初余额</v>
      </c>
      <c r="F563" s="884">
        <f t="shared" ref="F563:M563" si="220">SUM(F558:F562)</f>
        <v>-1714.32</v>
      </c>
      <c r="G563" s="885">
        <f t="shared" si="220"/>
        <v>0</v>
      </c>
      <c r="H563" s="885">
        <f t="shared" si="220"/>
        <v>0</v>
      </c>
      <c r="I563" s="913">
        <f t="shared" si="220"/>
        <v>-1714.32</v>
      </c>
      <c r="J563" s="914">
        <f t="shared" si="220"/>
        <v>0</v>
      </c>
      <c r="K563" s="885">
        <f t="shared" si="220"/>
        <v>0</v>
      </c>
      <c r="L563" s="885">
        <f t="shared" si="220"/>
        <v>0</v>
      </c>
      <c r="M563" s="891">
        <f t="shared" si="220"/>
        <v>0</v>
      </c>
      <c r="N563" s="641"/>
      <c r="O563" s="641"/>
      <c r="P563" s="641"/>
      <c r="Q563" s="641"/>
      <c r="T563" s="3056">
        <v>8804</v>
      </c>
      <c r="U563" s="3064">
        <v>0</v>
      </c>
    </row>
    <row r="564" spans="1:21" ht="17">
      <c r="A564" s="1648" t="str">
        <f t="shared" si="211"/>
        <v>＝</v>
      </c>
      <c r="B564" s="1647">
        <f t="shared" si="212"/>
        <v>0</v>
      </c>
      <c r="C564" s="1647">
        <f t="shared" si="210"/>
        <v>0</v>
      </c>
      <c r="D564" s="1659">
        <v>8790</v>
      </c>
      <c r="E564" s="888" t="str">
        <f t="shared" si="213"/>
        <v>未分配利润_本期增减变动金额</v>
      </c>
      <c r="F564" s="884">
        <f>SUM(F567,F568,F573,F578,F585,F588)</f>
        <v>-2324.91</v>
      </c>
      <c r="G564" s="885">
        <f t="shared" ref="G564:M564" si="221">SUM(G567,G568,G573,G578,G585,G588)</f>
        <v>0</v>
      </c>
      <c r="H564" s="885">
        <f t="shared" si="221"/>
        <v>0</v>
      </c>
      <c r="I564" s="913">
        <f t="shared" si="221"/>
        <v>-2324.91</v>
      </c>
      <c r="J564" s="914">
        <f t="shared" si="221"/>
        <v>-1714.32</v>
      </c>
      <c r="K564" s="885">
        <f t="shared" si="221"/>
        <v>0</v>
      </c>
      <c r="L564" s="885">
        <f t="shared" si="221"/>
        <v>0</v>
      </c>
      <c r="M564" s="891">
        <f t="shared" si="221"/>
        <v>-1714.32</v>
      </c>
      <c r="N564" s="641"/>
      <c r="O564" s="641"/>
      <c r="P564" s="641"/>
      <c r="Q564" s="641"/>
      <c r="T564" s="3056">
        <v>8809</v>
      </c>
      <c r="U564" s="3064">
        <v>0</v>
      </c>
    </row>
    <row r="565" spans="1:21" ht="17">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-2324.91</v>
      </c>
      <c r="G565" s="885">
        <f>SUM(VLOOKUP(6799,Sheet_Trialbal,4,0))</f>
        <v>0</v>
      </c>
      <c r="H565" s="885">
        <f>SUM(VLOOKUP(6799,Sheet_Trialbal,5,0))</f>
        <v>0</v>
      </c>
      <c r="I565" s="913">
        <f t="shared" si="215"/>
        <v>-2324.91</v>
      </c>
      <c r="J565" s="914">
        <f t="shared" si="216"/>
        <v>-1714.32</v>
      </c>
      <c r="K565" s="885">
        <f>SUM(VLOOKUP(6799,Sheet_Trialbal,8,0))</f>
        <v>0</v>
      </c>
      <c r="L565" s="885">
        <f>SUM(VLOOKUP(6799,Sheet_Trialbal,9,0))</f>
        <v>0</v>
      </c>
      <c r="M565" s="891">
        <f t="shared" si="217"/>
        <v>-1714.32</v>
      </c>
      <c r="N565" s="641"/>
      <c r="O565" s="641"/>
      <c r="P565" s="641"/>
      <c r="Q565" s="641"/>
      <c r="T565" s="3056">
        <v>8810</v>
      </c>
      <c r="U565" s="3064">
        <v>0</v>
      </c>
    </row>
    <row r="566" spans="1:21" ht="26">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6">
        <v>8890</v>
      </c>
      <c r="U566" s="3064">
        <v>0</v>
      </c>
    </row>
    <row r="567" spans="1:21" ht="26">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-2324.91</v>
      </c>
      <c r="G567" s="885">
        <f>SUM(VLOOKUP(6799,Sheet_Trialbal,4,0))</f>
        <v>0</v>
      </c>
      <c r="H567" s="885">
        <f>SUM(VLOOKUP(6799,Sheet_Trialbal,5,0))</f>
        <v>0</v>
      </c>
      <c r="I567" s="913">
        <f>(B567*F567+G567-H567)*B567</f>
        <v>-2324.91</v>
      </c>
      <c r="J567" s="914">
        <f>INDEX(Sheet_Presc,MATCH((RIGHT($D567,2)),Sheet_Prescrow,0),MATCH((VALUE(LEFT($D567,2))),Sheet_Presccol,0))</f>
        <v>-1714.32</v>
      </c>
      <c r="K567" s="885">
        <f>SUM(VLOOKUP(6799,Sheet_Trialbal,8,0))</f>
        <v>0</v>
      </c>
      <c r="L567" s="885">
        <f>SUM(VLOOKUP(6799,Sheet_Trialbal,9,0))</f>
        <v>0</v>
      </c>
      <c r="M567" s="891">
        <f>($B567*J567+K567-L567)*$B567</f>
        <v>-1714.32</v>
      </c>
      <c r="N567" s="641"/>
      <c r="O567" s="641"/>
      <c r="P567" s="641"/>
      <c r="Q567" s="641"/>
      <c r="T567" s="3056">
        <v>8821</v>
      </c>
      <c r="U567" s="3064">
        <v>0</v>
      </c>
    </row>
    <row r="568" spans="1:21" ht="26">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6">
        <v>8830</v>
      </c>
      <c r="U568" s="3064">
        <v>0</v>
      </c>
    </row>
    <row r="569" spans="1:21" ht="26">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6">
        <v>8840</v>
      </c>
      <c r="U569" s="3064">
        <v>0</v>
      </c>
    </row>
    <row r="570" spans="1:21" ht="26">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6">
        <v>8850</v>
      </c>
      <c r="U570" s="3064">
        <v>0</v>
      </c>
    </row>
    <row r="571" spans="1:21" ht="26">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6">
        <v>8851</v>
      </c>
      <c r="U571" s="3064">
        <v>0</v>
      </c>
    </row>
    <row r="572" spans="1:21" ht="26">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6">
        <v>8853</v>
      </c>
      <c r="U572" s="3064">
        <v>0</v>
      </c>
    </row>
    <row r="573" spans="1:21" ht="17">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6">
        <v>8852</v>
      </c>
      <c r="U573" s="3064">
        <v>0</v>
      </c>
    </row>
    <row r="574" spans="1:21" ht="17">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6">
        <v>8856</v>
      </c>
      <c r="U574" s="3064">
        <v>0</v>
      </c>
    </row>
    <row r="575" spans="1:21" ht="17">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6">
        <v>8860</v>
      </c>
      <c r="U575" s="3064">
        <v>0</v>
      </c>
    </row>
    <row r="576" spans="1:21" ht="17">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6">
        <v>8861</v>
      </c>
      <c r="U576" s="3064">
        <v>0</v>
      </c>
    </row>
    <row r="577" spans="1:21" ht="17">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6">
        <v>8862</v>
      </c>
      <c r="U577" s="3064">
        <v>0</v>
      </c>
    </row>
    <row r="578" spans="1:21" ht="17">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6">
        <v>8863</v>
      </c>
      <c r="U578" s="3064">
        <v>0</v>
      </c>
    </row>
    <row r="579" spans="1:21" ht="26">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6">
        <v>8866</v>
      </c>
      <c r="U579" s="3064">
        <v>0</v>
      </c>
    </row>
    <row r="580" spans="1:21" ht="26">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6">
        <v>8870</v>
      </c>
      <c r="U580" s="3064">
        <v>0</v>
      </c>
    </row>
    <row r="581" spans="1:21" ht="17">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6">
        <v>8871</v>
      </c>
      <c r="U581" s="3064">
        <v>0</v>
      </c>
    </row>
    <row r="582" spans="1:21" ht="26">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6">
        <v>8872</v>
      </c>
      <c r="U582" s="3064">
        <v>0</v>
      </c>
    </row>
    <row r="583" spans="1:21" ht="26">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6">
        <v>8873</v>
      </c>
      <c r="U583" s="3064">
        <v>0</v>
      </c>
    </row>
    <row r="584" spans="1:21" ht="26">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6">
        <v>8875</v>
      </c>
      <c r="U584" s="3064">
        <v>0</v>
      </c>
    </row>
    <row r="585" spans="1:21" ht="17">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6">
        <v>8876</v>
      </c>
      <c r="U585" s="3064">
        <v>0</v>
      </c>
    </row>
    <row r="586" spans="1:21" ht="17">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6">
        <v>8880</v>
      </c>
      <c r="U586" s="3064">
        <v>0</v>
      </c>
    </row>
    <row r="587" spans="1:21" ht="17">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6">
        <v>8881</v>
      </c>
      <c r="U587" s="3064">
        <v>0</v>
      </c>
    </row>
    <row r="588" spans="1:21" ht="17">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6">
        <v>8882</v>
      </c>
      <c r="U588" s="3064">
        <v>0</v>
      </c>
    </row>
    <row r="589" spans="1:21" ht="17">
      <c r="A589" s="1648" t="str">
        <f t="shared" si="211"/>
        <v>＝</v>
      </c>
      <c r="B589" s="1647">
        <f t="shared" si="212"/>
        <v>0</v>
      </c>
      <c r="C589" s="1647">
        <f t="shared" si="210"/>
        <v>0</v>
      </c>
      <c r="D589" s="1659">
        <v>8799</v>
      </c>
      <c r="E589" s="888" t="str">
        <f t="shared" si="213"/>
        <v>未分配利润_本期期末余额</v>
      </c>
      <c r="F589" s="884">
        <f t="shared" ref="F589:M589" si="227">SUM(F563,F564)</f>
        <v>-4039.23</v>
      </c>
      <c r="G589" s="885">
        <f t="shared" si="227"/>
        <v>0</v>
      </c>
      <c r="H589" s="885">
        <f t="shared" si="227"/>
        <v>0</v>
      </c>
      <c r="I589" s="913">
        <f t="shared" si="227"/>
        <v>-4039.23</v>
      </c>
      <c r="J589" s="914">
        <f t="shared" si="227"/>
        <v>-1714.32</v>
      </c>
      <c r="K589" s="885">
        <f t="shared" si="227"/>
        <v>0</v>
      </c>
      <c r="L589" s="885">
        <f t="shared" si="227"/>
        <v>0</v>
      </c>
      <c r="M589" s="891">
        <f t="shared" si="227"/>
        <v>-1714.32</v>
      </c>
      <c r="N589" s="641"/>
      <c r="O589" s="641"/>
      <c r="P589" s="641"/>
      <c r="Q589" s="641"/>
      <c r="T589" s="3056">
        <v>8896</v>
      </c>
      <c r="U589" s="3064">
        <v>0</v>
      </c>
    </row>
    <row r="590" spans="1:21" ht="26">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6">
        <v>8899</v>
      </c>
      <c r="U590" s="3064">
        <v>0</v>
      </c>
    </row>
    <row r="591" spans="1:21" ht="26">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6">
        <v>8900</v>
      </c>
      <c r="U591" s="3064">
        <v>0</v>
      </c>
    </row>
    <row r="592" spans="1:21" ht="26">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6">
        <v>8901</v>
      </c>
      <c r="U592" s="3064">
        <v>0</v>
      </c>
    </row>
    <row r="593" spans="1:21" ht="26">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6">
        <v>8902</v>
      </c>
      <c r="U593" s="3064">
        <v>0</v>
      </c>
    </row>
    <row r="594" spans="1:21" ht="39">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6">
        <v>8903</v>
      </c>
      <c r="U594" s="3064">
        <v>0</v>
      </c>
    </row>
    <row r="595" spans="1:21" ht="26">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6">
        <v>8904</v>
      </c>
      <c r="U595" s="3064">
        <v>0</v>
      </c>
    </row>
    <row r="596" spans="1:21" ht="26">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6">
        <v>8909</v>
      </c>
      <c r="U596" s="3064">
        <v>0</v>
      </c>
    </row>
    <row r="597" spans="1:21" ht="26">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6">
        <v>8910</v>
      </c>
      <c r="U597" s="3064">
        <v>0</v>
      </c>
    </row>
    <row r="598" spans="1:21" ht="26">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6">
        <v>8990</v>
      </c>
      <c r="U598" s="3064">
        <v>0</v>
      </c>
    </row>
    <row r="599" spans="1:21" ht="26">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6">
        <v>8921</v>
      </c>
      <c r="U599" s="3064">
        <v>0</v>
      </c>
    </row>
    <row r="600" spans="1:21" ht="26">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6">
        <v>8930</v>
      </c>
      <c r="U600" s="3064">
        <v>0</v>
      </c>
    </row>
    <row r="601" spans="1:21" ht="26">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6">
        <v>8940</v>
      </c>
      <c r="U601" s="3064">
        <v>0</v>
      </c>
    </row>
    <row r="602" spans="1:21" ht="26">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6">
        <v>8950</v>
      </c>
      <c r="U602" s="3064">
        <v>0</v>
      </c>
    </row>
    <row r="603" spans="1:21" ht="26">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6">
        <v>8951</v>
      </c>
      <c r="U603" s="3064">
        <v>0</v>
      </c>
    </row>
    <row r="604" spans="1:21" ht="26">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6">
        <v>8953</v>
      </c>
      <c r="U604" s="3064">
        <v>0</v>
      </c>
    </row>
    <row r="605" spans="1:21" ht="26">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6">
        <v>8952</v>
      </c>
      <c r="U605" s="3064">
        <v>0</v>
      </c>
    </row>
    <row r="606" spans="1:21" ht="26">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6">
        <v>8956</v>
      </c>
      <c r="U606" s="3064">
        <v>0</v>
      </c>
    </row>
    <row r="607" spans="1:21" ht="26">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6">
        <v>8960</v>
      </c>
      <c r="U607" s="3064">
        <v>0</v>
      </c>
    </row>
    <row r="608" spans="1:21" ht="26">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6">
        <v>8961</v>
      </c>
      <c r="U608" s="3064">
        <v>0</v>
      </c>
    </row>
    <row r="609" spans="1:21" ht="26">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6">
        <v>8962</v>
      </c>
      <c r="U609" s="3064">
        <v>0</v>
      </c>
    </row>
    <row r="610" spans="1:21" ht="26">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6">
        <v>8963</v>
      </c>
      <c r="U610" s="3064">
        <v>0</v>
      </c>
    </row>
    <row r="611" spans="1:21" ht="26">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6">
        <v>8966</v>
      </c>
      <c r="U611" s="3064">
        <v>0</v>
      </c>
    </row>
    <row r="612" spans="1:21" ht="26">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6">
        <v>8970</v>
      </c>
      <c r="U612" s="3064">
        <v>0</v>
      </c>
    </row>
    <row r="613" spans="1:21" ht="26">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6">
        <v>8971</v>
      </c>
      <c r="U613" s="3064">
        <v>0</v>
      </c>
    </row>
    <row r="614" spans="1:21" ht="26">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6">
        <v>8972</v>
      </c>
      <c r="U614" s="3064">
        <v>0</v>
      </c>
    </row>
    <row r="615" spans="1:21" ht="26">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6">
        <v>8973</v>
      </c>
      <c r="U615" s="3064">
        <v>0</v>
      </c>
    </row>
    <row r="616" spans="1:21" ht="26">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6">
        <v>8975</v>
      </c>
      <c r="U616" s="3064">
        <v>0</v>
      </c>
    </row>
    <row r="617" spans="1:21" ht="26">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6">
        <v>8976</v>
      </c>
      <c r="U617" s="3064">
        <v>0</v>
      </c>
    </row>
    <row r="618" spans="1:21" ht="26">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6">
        <v>8980</v>
      </c>
      <c r="U618" s="3064">
        <v>0</v>
      </c>
    </row>
    <row r="619" spans="1:21" ht="26">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6">
        <v>8981</v>
      </c>
      <c r="U619" s="3064">
        <v>0</v>
      </c>
    </row>
    <row r="620" spans="1:21" ht="26">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6">
        <v>8982</v>
      </c>
      <c r="U620" s="3064">
        <v>0</v>
      </c>
    </row>
    <row r="621" spans="1:21" ht="26">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6">
        <v>8996</v>
      </c>
      <c r="U621" s="3064">
        <v>0</v>
      </c>
    </row>
    <row r="622" spans="1:21" ht="26">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6">
        <v>8999</v>
      </c>
      <c r="U622" s="3064">
        <v>0</v>
      </c>
    </row>
    <row r="623" spans="1:21" ht="17">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6">
        <v>7</v>
      </c>
      <c r="U623" s="3064"/>
    </row>
    <row r="624" spans="1:21" ht="17">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6">
        <v>7000</v>
      </c>
      <c r="U624" s="3064"/>
    </row>
    <row r="625" spans="1:21" ht="26">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6">
        <v>7001</v>
      </c>
      <c r="U625" s="3064">
        <v>0</v>
      </c>
    </row>
    <row r="626" spans="1:21" ht="26">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6">
        <v>7011</v>
      </c>
      <c r="U626" s="3064">
        <v>0</v>
      </c>
    </row>
    <row r="627" spans="1:21" ht="26">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6">
        <v>7012</v>
      </c>
      <c r="U627" s="3064">
        <v>0</v>
      </c>
    </row>
    <row r="628" spans="1:21" ht="26">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6">
        <v>7013</v>
      </c>
      <c r="U628" s="3064">
        <v>0</v>
      </c>
    </row>
    <row r="629" spans="1:21" ht="17">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6">
        <v>7014</v>
      </c>
      <c r="U629" s="3064">
        <v>0</v>
      </c>
    </row>
    <row r="630" spans="1:21" ht="17">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6">
        <v>7015</v>
      </c>
      <c r="U630" s="3064">
        <v>0</v>
      </c>
    </row>
    <row r="631" spans="1:21" ht="17">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6">
        <v>7016</v>
      </c>
      <c r="U631" s="3064">
        <v>0</v>
      </c>
    </row>
    <row r="632" spans="1:21" ht="17">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6">
        <v>7021</v>
      </c>
      <c r="U632" s="3064">
        <v>0</v>
      </c>
    </row>
    <row r="633" spans="1:21" ht="26">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6">
        <v>7023</v>
      </c>
      <c r="U633" s="3064">
        <v>0</v>
      </c>
    </row>
    <row r="634" spans="1:21" ht="26">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6">
        <v>7025</v>
      </c>
      <c r="U634" s="3064">
        <v>0</v>
      </c>
    </row>
    <row r="635" spans="1:21" ht="17">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6">
        <v>7026</v>
      </c>
      <c r="U635" s="3064">
        <v>0</v>
      </c>
    </row>
    <row r="636" spans="1:21" ht="26">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6">
        <v>7031</v>
      </c>
      <c r="U636" s="3064">
        <v>0</v>
      </c>
    </row>
    <row r="637" spans="1:21" ht="17">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6">
        <v>7046</v>
      </c>
      <c r="U637" s="3064">
        <v>21238.44</v>
      </c>
    </row>
    <row r="638" spans="1:21" ht="26">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6">
        <v>7048</v>
      </c>
      <c r="U638" s="3064">
        <v>21238.44</v>
      </c>
    </row>
    <row r="639" spans="1:21" ht="17">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6">
        <v>7051</v>
      </c>
      <c r="U639" s="3064">
        <v>0</v>
      </c>
    </row>
    <row r="640" spans="1:21" ht="26">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6">
        <v>7053</v>
      </c>
      <c r="U640" s="3064">
        <v>0</v>
      </c>
    </row>
    <row r="641" spans="1:21" ht="26">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6">
        <v>7054</v>
      </c>
      <c r="U641" s="3064">
        <v>0</v>
      </c>
    </row>
    <row r="642" spans="1:21" ht="17">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6">
        <v>7055</v>
      </c>
      <c r="U642" s="3064">
        <v>0</v>
      </c>
    </row>
    <row r="643" spans="1:21" ht="17">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6">
        <v>7056</v>
      </c>
      <c r="U643" s="3064">
        <v>0</v>
      </c>
    </row>
    <row r="644" spans="1:21" ht="26">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6">
        <v>7057</v>
      </c>
      <c r="U644" s="3064">
        <v>0</v>
      </c>
    </row>
    <row r="645" spans="1:21" ht="26">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6">
        <v>7061</v>
      </c>
      <c r="U645" s="3064">
        <v>0</v>
      </c>
    </row>
    <row r="646" spans="1:21" ht="26">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6">
        <v>7071</v>
      </c>
      <c r="U646" s="3064">
        <v>0</v>
      </c>
    </row>
    <row r="647" spans="1:21" ht="26">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6">
        <v>7096</v>
      </c>
      <c r="U647" s="3064">
        <v>3432.76</v>
      </c>
    </row>
    <row r="648" spans="1:21" ht="26">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6">
        <v>7098</v>
      </c>
      <c r="U648" s="3064">
        <v>3432.76</v>
      </c>
    </row>
    <row r="649" spans="1:21" ht="26">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6">
        <v>7099</v>
      </c>
      <c r="U649" s="3064">
        <v>17805.68</v>
      </c>
    </row>
    <row r="650" spans="1:21" ht="26">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6">
        <v>7100</v>
      </c>
      <c r="U650" s="3064">
        <v>0</v>
      </c>
    </row>
    <row r="651" spans="1:21" ht="17">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6">
        <v>7101</v>
      </c>
      <c r="U651" s="3064">
        <v>0</v>
      </c>
    </row>
    <row r="652" spans="1:21" ht="17">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6">
        <v>7105</v>
      </c>
      <c r="U652" s="3064">
        <v>0</v>
      </c>
    </row>
    <row r="653" spans="1:21" ht="17">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6">
        <v>7111</v>
      </c>
      <c r="U653" s="3064">
        <v>0</v>
      </c>
    </row>
    <row r="654" spans="1:21" ht="17">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6">
        <v>7121</v>
      </c>
      <c r="U654" s="3064">
        <v>0</v>
      </c>
    </row>
    <row r="655" spans="1:21" ht="17">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6">
        <v>7146</v>
      </c>
      <c r="U655" s="3064">
        <v>0</v>
      </c>
    </row>
    <row r="656" spans="1:21" ht="17">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6">
        <v>7148</v>
      </c>
      <c r="U656" s="3064">
        <v>0</v>
      </c>
    </row>
    <row r="657" spans="1:21" ht="17">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6">
        <v>7151</v>
      </c>
      <c r="U657" s="3064">
        <v>0</v>
      </c>
    </row>
    <row r="658" spans="1:21" ht="17">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0</v>
      </c>
      <c r="G658" s="885">
        <f>SUMIF(CFJE!$B:$B,$C658&amp;$D658&amp;"*",CFJE!$S:$S)</f>
        <v>0</v>
      </c>
      <c r="H658" s="885">
        <f>SUMIF(CFJE!$B:$B,$C658&amp;$D658&amp;"*",CFJE!$T:$T)</f>
        <v>0</v>
      </c>
      <c r="I658" s="913">
        <f t="shared" ref="I658:I689" si="252">(B658*F658+G658-H658)*B658</f>
        <v>0</v>
      </c>
      <c r="J658" s="914">
        <f t="shared" ref="J658:J689" si="253">VLOOKUP($D658,Sheet_Precf,5,0)</f>
        <v>0</v>
      </c>
      <c r="K658" s="885"/>
      <c r="L658" s="885"/>
      <c r="M658" s="891">
        <f t="shared" ref="M658:M689" si="254">($B658*J658+K658-L658)*$B658</f>
        <v>0</v>
      </c>
      <c r="N658" s="641"/>
      <c r="O658" s="641"/>
      <c r="P658" s="641"/>
      <c r="Q658" s="641"/>
      <c r="T658" s="3056">
        <v>7161</v>
      </c>
      <c r="U658" s="3064">
        <v>0</v>
      </c>
    </row>
    <row r="659" spans="1:21" ht="17">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6">
        <v>7165</v>
      </c>
      <c r="U659" s="3064">
        <v>0</v>
      </c>
    </row>
    <row r="660" spans="1:21" ht="17">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6">
        <v>7171</v>
      </c>
      <c r="U660" s="3064">
        <v>0</v>
      </c>
    </row>
    <row r="661" spans="1:21" ht="17">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6">
        <v>7196</v>
      </c>
      <c r="U661" s="3064">
        <v>0</v>
      </c>
    </row>
    <row r="662" spans="1:21" ht="17">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6">
        <v>7198</v>
      </c>
      <c r="U662" s="3064">
        <v>0</v>
      </c>
    </row>
    <row r="663" spans="1:21" ht="17">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6">
        <v>7199</v>
      </c>
      <c r="U663" s="3064">
        <v>0</v>
      </c>
    </row>
    <row r="664" spans="1:21" ht="17">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6">
        <v>7200</v>
      </c>
      <c r="U664" s="3064">
        <v>0</v>
      </c>
    </row>
    <row r="665" spans="1:21" ht="17">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6">
        <v>7201</v>
      </c>
      <c r="U665" s="3064">
        <v>0</v>
      </c>
    </row>
    <row r="666" spans="1:21" ht="17">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7">
        <v>7201.01</v>
      </c>
      <c r="U666" s="3064">
        <v>0</v>
      </c>
    </row>
    <row r="667" spans="1:21" ht="17">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6">
        <v>7211</v>
      </c>
      <c r="U667" s="3064">
        <v>0</v>
      </c>
    </row>
    <row r="668" spans="1:21" ht="17">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6">
        <v>7221</v>
      </c>
      <c r="U668" s="3064">
        <v>0</v>
      </c>
    </row>
    <row r="669" spans="1:21" ht="17">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6">
        <v>7246</v>
      </c>
      <c r="U669" s="3064">
        <v>0</v>
      </c>
    </row>
    <row r="670" spans="1:21" ht="17">
      <c r="A670" s="1648">
        <f t="shared" si="239"/>
        <v>0</v>
      </c>
      <c r="B670" s="1647">
        <f t="shared" si="240"/>
        <v>1</v>
      </c>
      <c r="C670" s="1647" t="str">
        <f t="shared" si="237"/>
        <v>J</v>
      </c>
      <c r="D670" s="1659">
        <v>7046</v>
      </c>
      <c r="E670" s="888" t="str">
        <f t="shared" si="241"/>
        <v>收到其他与经营活动有关的现金</v>
      </c>
      <c r="F670" s="884">
        <f t="shared" si="251"/>
        <v>50.09</v>
      </c>
      <c r="G670" s="885">
        <f>SUMIF(CFJE!$B:$B,$C670&amp;$D670&amp;"*",CFJE!$S:$S)</f>
        <v>0</v>
      </c>
      <c r="H670" s="885">
        <f>SUMIF(CFJE!$B:$B,$C670&amp;$D670&amp;"*",CFJE!$T:$T)</f>
        <v>0</v>
      </c>
      <c r="I670" s="913">
        <f t="shared" si="252"/>
        <v>50.09</v>
      </c>
      <c r="J670" s="914">
        <f t="shared" si="253"/>
        <v>21238.44</v>
      </c>
      <c r="K670" s="885"/>
      <c r="L670" s="885"/>
      <c r="M670" s="891">
        <f t="shared" si="254"/>
        <v>21238.44</v>
      </c>
      <c r="N670" s="641"/>
      <c r="O670" s="641"/>
      <c r="P670" s="641"/>
      <c r="Q670" s="641"/>
      <c r="T670" s="3056">
        <v>7248</v>
      </c>
      <c r="U670" s="3064">
        <v>0</v>
      </c>
    </row>
    <row r="671" spans="1:21" ht="17">
      <c r="A671" s="1648" t="str">
        <f t="shared" si="239"/>
        <v>＝</v>
      </c>
      <c r="B671" s="1647">
        <f t="shared" si="240"/>
        <v>0</v>
      </c>
      <c r="C671" s="1647">
        <f t="shared" si="237"/>
        <v>0</v>
      </c>
      <c r="D671" s="2186">
        <v>7048</v>
      </c>
      <c r="E671" s="2187" t="str">
        <f t="shared" si="241"/>
        <v>经营活动现金流入</v>
      </c>
      <c r="F671" s="884">
        <f t="shared" ref="F671:M671" si="257">SUM(F658:F670)</f>
        <v>50.09</v>
      </c>
      <c r="G671" s="885">
        <f t="shared" si="257"/>
        <v>0</v>
      </c>
      <c r="H671" s="885">
        <f t="shared" si="257"/>
        <v>0</v>
      </c>
      <c r="I671" s="913">
        <f t="shared" si="257"/>
        <v>50.09</v>
      </c>
      <c r="J671" s="914">
        <f t="shared" si="257"/>
        <v>21238.44</v>
      </c>
      <c r="K671" s="885">
        <f t="shared" si="257"/>
        <v>0</v>
      </c>
      <c r="L671" s="885">
        <f t="shared" si="257"/>
        <v>0</v>
      </c>
      <c r="M671" s="891">
        <f t="shared" si="257"/>
        <v>21238.44</v>
      </c>
      <c r="N671" s="641"/>
      <c r="O671" s="641"/>
      <c r="P671" s="641"/>
      <c r="Q671" s="641"/>
      <c r="T671" s="3056">
        <v>7251</v>
      </c>
      <c r="U671" s="3064">
        <v>0</v>
      </c>
    </row>
    <row r="672" spans="1:21" ht="17">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0</v>
      </c>
      <c r="K672" s="885"/>
      <c r="L672" s="885"/>
      <c r="M672" s="891">
        <f t="shared" si="254"/>
        <v>0</v>
      </c>
      <c r="N672" s="641"/>
      <c r="O672" s="641"/>
      <c r="P672" s="641"/>
      <c r="Q672" s="641"/>
      <c r="T672" s="3056">
        <v>7261</v>
      </c>
      <c r="U672" s="3064">
        <v>0</v>
      </c>
    </row>
    <row r="673" spans="1:21" ht="17">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7">
        <v>7261.01</v>
      </c>
      <c r="U673" s="3064">
        <v>0</v>
      </c>
    </row>
    <row r="674" spans="1:21" ht="17">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6">
        <v>7296</v>
      </c>
      <c r="U674" s="3064">
        <v>0</v>
      </c>
    </row>
    <row r="675" spans="1:21" ht="17">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7">
        <v>7296.11</v>
      </c>
      <c r="U675" s="3064">
        <v>0</v>
      </c>
    </row>
    <row r="676" spans="1:21" ht="17">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6">
        <v>7298</v>
      </c>
      <c r="U676" s="3064">
        <v>0</v>
      </c>
    </row>
    <row r="677" spans="1:21" ht="17">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6">
        <v>7299</v>
      </c>
      <c r="U677" s="3064">
        <v>0</v>
      </c>
    </row>
    <row r="678" spans="1:21" ht="17">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6">
        <v>7309</v>
      </c>
      <c r="U678" s="3064">
        <v>0</v>
      </c>
    </row>
    <row r="679" spans="1:21" ht="17">
      <c r="A679" s="1648">
        <f t="shared" si="239"/>
        <v>0</v>
      </c>
      <c r="B679" s="1647">
        <f t="shared" si="240"/>
        <v>-1</v>
      </c>
      <c r="C679" s="1647" t="str">
        <f t="shared" si="237"/>
        <v>J</v>
      </c>
      <c r="D679" s="1659">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0</v>
      </c>
      <c r="K679" s="885"/>
      <c r="L679" s="885"/>
      <c r="M679" s="891">
        <f t="shared" si="254"/>
        <v>0</v>
      </c>
      <c r="N679" s="641"/>
      <c r="O679" s="641"/>
      <c r="P679" s="641"/>
      <c r="Q679" s="641"/>
      <c r="T679" s="3056">
        <v>7348</v>
      </c>
      <c r="U679" s="3064">
        <v>17805.68</v>
      </c>
    </row>
    <row r="680" spans="1:21" ht="17">
      <c r="A680" s="1648">
        <f t="shared" si="239"/>
        <v>0</v>
      </c>
      <c r="B680" s="1647">
        <f t="shared" si="240"/>
        <v>-1</v>
      </c>
      <c r="C680" s="1647" t="str">
        <f t="shared" si="237"/>
        <v>J</v>
      </c>
      <c r="D680" s="1659">
        <v>7071</v>
      </c>
      <c r="E680" s="888" t="str">
        <f t="shared" si="241"/>
        <v>支付的各项税费</v>
      </c>
      <c r="F680" s="884">
        <f t="shared" si="258"/>
        <v>0</v>
      </c>
      <c r="G680" s="885">
        <f>SUMIF(CFJE!$B:$B,$C680&amp;$D680&amp;"*",CFJE!$S:$S)</f>
        <v>0</v>
      </c>
      <c r="H680" s="885">
        <f>SUMIF(CFJE!$B:$B,$C680&amp;$D680&amp;"*",CFJE!$T:$T)</f>
        <v>0</v>
      </c>
      <c r="I680" s="913">
        <f t="shared" si="252"/>
        <v>0</v>
      </c>
      <c r="J680" s="914">
        <f t="shared" si="253"/>
        <v>0</v>
      </c>
      <c r="K680" s="885"/>
      <c r="L680" s="885"/>
      <c r="M680" s="891">
        <f t="shared" si="254"/>
        <v>0</v>
      </c>
      <c r="N680" s="641"/>
      <c r="O680" s="641"/>
      <c r="P680" s="641"/>
      <c r="Q680" s="641"/>
      <c r="T680" s="3056">
        <v>7349</v>
      </c>
      <c r="U680" s="3064">
        <v>0</v>
      </c>
    </row>
    <row r="681" spans="1:21" ht="17">
      <c r="A681" s="1648">
        <f t="shared" si="239"/>
        <v>0</v>
      </c>
      <c r="B681" s="1647">
        <f t="shared" si="240"/>
        <v>-1</v>
      </c>
      <c r="C681" s="1647" t="str">
        <f t="shared" si="237"/>
        <v>J</v>
      </c>
      <c r="D681" s="1659">
        <v>7096</v>
      </c>
      <c r="E681" s="888" t="str">
        <f t="shared" si="241"/>
        <v>支付其他与经营活动有关的现金</v>
      </c>
      <c r="F681" s="884">
        <f t="shared" si="258"/>
        <v>2375</v>
      </c>
      <c r="G681" s="885">
        <f>SUMIF(CFJE!$B:$B,$C681&amp;$D681&amp;"*",CFJE!$S:$S)</f>
        <v>0</v>
      </c>
      <c r="H681" s="885">
        <f>SUMIF(CFJE!$B:$B,$C681&amp;$D681&amp;"*",CFJE!$T:$T)</f>
        <v>0</v>
      </c>
      <c r="I681" s="913">
        <f t="shared" si="252"/>
        <v>2375</v>
      </c>
      <c r="J681" s="914">
        <f t="shared" si="253"/>
        <v>3432.76</v>
      </c>
      <c r="K681" s="885"/>
      <c r="L681" s="885"/>
      <c r="M681" s="891">
        <f t="shared" si="254"/>
        <v>3432.76</v>
      </c>
      <c r="N681" s="641"/>
      <c r="O681" s="641"/>
      <c r="P681" s="641"/>
      <c r="Q681" s="641"/>
      <c r="T681" s="3056">
        <v>7399</v>
      </c>
      <c r="U681" s="3064">
        <v>17805.68</v>
      </c>
    </row>
    <row r="682" spans="1:21" ht="17">
      <c r="A682" s="1648" t="str">
        <f t="shared" si="239"/>
        <v>＝</v>
      </c>
      <c r="B682" s="1647">
        <f t="shared" si="240"/>
        <v>0</v>
      </c>
      <c r="C682" s="1647">
        <f t="shared" si="237"/>
        <v>0</v>
      </c>
      <c r="D682" s="2186">
        <v>7098</v>
      </c>
      <c r="E682" s="2187" t="str">
        <f t="shared" si="241"/>
        <v>经营活动现金流出</v>
      </c>
      <c r="F682" s="884">
        <f t="shared" ref="F682:M682" si="261">SUM(F672:F681)</f>
        <v>2375</v>
      </c>
      <c r="G682" s="885">
        <f t="shared" si="261"/>
        <v>0</v>
      </c>
      <c r="H682" s="885">
        <f t="shared" si="261"/>
        <v>0</v>
      </c>
      <c r="I682" s="913">
        <f t="shared" si="261"/>
        <v>2375</v>
      </c>
      <c r="J682" s="914">
        <f t="shared" si="261"/>
        <v>3432.76</v>
      </c>
      <c r="K682" s="885">
        <f t="shared" si="261"/>
        <v>0</v>
      </c>
      <c r="L682" s="885">
        <f t="shared" si="261"/>
        <v>0</v>
      </c>
      <c r="M682" s="891">
        <f t="shared" si="261"/>
        <v>3432.76</v>
      </c>
      <c r="N682" s="641"/>
      <c r="O682" s="641"/>
      <c r="P682" s="641"/>
      <c r="Q682" s="641"/>
      <c r="T682" s="3056">
        <v>19</v>
      </c>
      <c r="U682" s="3064"/>
    </row>
    <row r="683" spans="1:21" ht="17">
      <c r="A683" s="1648" t="str">
        <f t="shared" si="239"/>
        <v>＝</v>
      </c>
      <c r="B683" s="1647">
        <f t="shared" si="240"/>
        <v>0</v>
      </c>
      <c r="C683" s="1647">
        <f t="shared" si="237"/>
        <v>0</v>
      </c>
      <c r="D683" s="2186">
        <v>7099</v>
      </c>
      <c r="E683" s="2187" t="str">
        <f t="shared" si="241"/>
        <v>经营活动产生的现金流量净额</v>
      </c>
      <c r="F683" s="884">
        <f t="shared" ref="F683:M683" si="262">SUM(F671,-F682)</f>
        <v>-2324.91</v>
      </c>
      <c r="G683" s="919">
        <f>SUM(G671,G682)</f>
        <v>0</v>
      </c>
      <c r="H683" s="919">
        <f>SUM(H671,H682)</f>
        <v>0</v>
      </c>
      <c r="I683" s="913">
        <f t="shared" si="262"/>
        <v>-2324.91</v>
      </c>
      <c r="J683" s="914">
        <f t="shared" si="262"/>
        <v>17805.68</v>
      </c>
      <c r="K683" s="919">
        <f>SUM(K671,K682)</f>
        <v>0</v>
      </c>
      <c r="L683" s="919">
        <f>SUM(L671,L682)</f>
        <v>0</v>
      </c>
      <c r="M683" s="891">
        <f t="shared" si="262"/>
        <v>17805.68</v>
      </c>
      <c r="N683" s="641"/>
      <c r="O683" s="641"/>
      <c r="P683" s="641"/>
      <c r="Q683" s="641"/>
      <c r="T683" s="3061">
        <v>1122.1231</v>
      </c>
      <c r="U683" s="3064">
        <v>0</v>
      </c>
    </row>
    <row r="684" spans="1:21" ht="17">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1">
        <v>1125.1231</v>
      </c>
      <c r="U684" s="3064">
        <v>0</v>
      </c>
    </row>
    <row r="685" spans="1:21" ht="17">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1">
        <v>1221.1231</v>
      </c>
      <c r="U685" s="3064">
        <v>0</v>
      </c>
    </row>
    <row r="686" spans="1:21" ht="17">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1">
        <v>1400.1470999999999</v>
      </c>
      <c r="U686" s="3064">
        <v>0</v>
      </c>
    </row>
    <row r="687" spans="1:21" ht="26">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1">
        <v>1503.1504</v>
      </c>
      <c r="U687" s="3064">
        <v>0</v>
      </c>
    </row>
    <row r="688" spans="1:21" ht="26">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1">
        <v>1501.1502</v>
      </c>
      <c r="U688" s="3064">
        <v>0</v>
      </c>
    </row>
    <row r="689" spans="1:21" ht="17">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1">
        <v>1511.1512</v>
      </c>
      <c r="U689" s="3064">
        <v>0</v>
      </c>
    </row>
    <row r="690" spans="1:21" ht="17">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1">
        <v>1521.1522</v>
      </c>
      <c r="U690" s="3064">
        <v>0</v>
      </c>
    </row>
    <row r="691" spans="1:21" ht="26">
      <c r="A691" s="1648">
        <f t="shared" si="239"/>
        <v>0</v>
      </c>
      <c r="B691" s="1647">
        <f t="shared" si="240"/>
        <v>-1</v>
      </c>
      <c r="C691" s="1647" t="str">
        <f t="shared" si="237"/>
        <v>J</v>
      </c>
      <c r="D691" s="1659">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61">
        <v>1601.1603</v>
      </c>
      <c r="U691" s="3064">
        <v>0</v>
      </c>
    </row>
    <row r="692" spans="1:21" ht="17">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1">
        <v>1605.1608000000001</v>
      </c>
      <c r="U692" s="3064">
        <v>0</v>
      </c>
    </row>
    <row r="693" spans="1:21" ht="17">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1">
        <v>1604.1606999999999</v>
      </c>
      <c r="U693" s="3064">
        <v>0</v>
      </c>
    </row>
    <row r="694" spans="1:21" ht="26">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1">
        <v>1621.1623999999999</v>
      </c>
      <c r="U694" s="3064">
        <v>0</v>
      </c>
    </row>
    <row r="695" spans="1:21" ht="17">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1">
        <v>1631.1632999999999</v>
      </c>
      <c r="U695" s="3064">
        <v>0</v>
      </c>
    </row>
    <row r="696" spans="1:21" ht="17">
      <c r="A696" s="1648" t="str">
        <f t="shared" si="239"/>
        <v>＝</v>
      </c>
      <c r="B696" s="1647">
        <f t="shared" si="240"/>
        <v>0</v>
      </c>
      <c r="C696" s="1647">
        <f t="shared" si="237"/>
        <v>0</v>
      </c>
      <c r="D696" s="2186">
        <v>7198</v>
      </c>
      <c r="E696" s="2187" t="str">
        <f t="shared" si="241"/>
        <v>投资活动现金流出</v>
      </c>
      <c r="F696" s="884">
        <f t="shared" ref="F696:M696" si="268">SUM(F691:F695)</f>
        <v>0</v>
      </c>
      <c r="G696" s="885">
        <f t="shared" si="268"/>
        <v>0</v>
      </c>
      <c r="H696" s="885">
        <f t="shared" si="268"/>
        <v>0</v>
      </c>
      <c r="I696" s="913">
        <f t="shared" si="268"/>
        <v>0</v>
      </c>
      <c r="J696" s="914">
        <f t="shared" si="268"/>
        <v>0</v>
      </c>
      <c r="K696" s="885">
        <f t="shared" si="268"/>
        <v>0</v>
      </c>
      <c r="L696" s="885">
        <f t="shared" si="268"/>
        <v>0</v>
      </c>
      <c r="M696" s="891">
        <f t="shared" si="268"/>
        <v>0</v>
      </c>
      <c r="N696" s="641"/>
      <c r="O696" s="641"/>
      <c r="P696" s="641"/>
      <c r="Q696" s="641"/>
      <c r="T696" s="3061">
        <v>1701.1703</v>
      </c>
      <c r="U696" s="3064">
        <v>0</v>
      </c>
    </row>
    <row r="697" spans="1:21" ht="17">
      <c r="A697" s="1648" t="str">
        <f t="shared" si="239"/>
        <v>＝</v>
      </c>
      <c r="B697" s="1647">
        <f t="shared" si="240"/>
        <v>0</v>
      </c>
      <c r="C697" s="1647">
        <f t="shared" si="237"/>
        <v>0</v>
      </c>
      <c r="D697" s="2186">
        <v>7199</v>
      </c>
      <c r="E697" s="2187" t="str">
        <f t="shared" si="241"/>
        <v>投资活动产生的现金流量净额</v>
      </c>
      <c r="F697" s="884">
        <f t="shared" ref="F697:M697" si="269">SUM(F690,-F696)</f>
        <v>0</v>
      </c>
      <c r="G697" s="919">
        <f>SUM(G690,G696)</f>
        <v>0</v>
      </c>
      <c r="H697" s="919">
        <f>SUM(H690,H696)</f>
        <v>0</v>
      </c>
      <c r="I697" s="913">
        <f t="shared" si="269"/>
        <v>0</v>
      </c>
      <c r="J697" s="914">
        <f t="shared" si="269"/>
        <v>0</v>
      </c>
      <c r="K697" s="919">
        <f>SUM(K690,K696)</f>
        <v>0</v>
      </c>
      <c r="L697" s="919">
        <f>SUM(L690,L696)</f>
        <v>0</v>
      </c>
      <c r="M697" s="891">
        <f t="shared" si="269"/>
        <v>0</v>
      </c>
      <c r="N697" s="641"/>
      <c r="O697" s="641"/>
      <c r="P697" s="641"/>
      <c r="Q697" s="641"/>
      <c r="T697" s="3061">
        <v>1711.1712</v>
      </c>
      <c r="U697" s="3064">
        <v>0</v>
      </c>
    </row>
    <row r="698" spans="1:21" ht="17">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1">
        <v>1991.1992</v>
      </c>
      <c r="U698" s="3064">
        <v>0</v>
      </c>
    </row>
    <row r="699" spans="1:21" ht="17">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1">
        <v>1991</v>
      </c>
      <c r="U699" s="3064">
        <v>0</v>
      </c>
    </row>
    <row r="700" spans="1:21" ht="26">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1">
        <v>7500</v>
      </c>
      <c r="U700" s="3064"/>
    </row>
    <row r="701" spans="1:21" ht="17">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1">
        <v>7501</v>
      </c>
      <c r="U701" s="3064"/>
    </row>
    <row r="702" spans="1:21" ht="17">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1">
        <v>7502</v>
      </c>
      <c r="U702" s="3065">
        <v>-1714.32</v>
      </c>
    </row>
    <row r="703" spans="1:21" ht="17">
      <c r="A703" s="1648" t="str">
        <f t="shared" si="239"/>
        <v>＝</v>
      </c>
      <c r="B703" s="1647">
        <f t="shared" si="240"/>
        <v>0</v>
      </c>
      <c r="C703" s="1647">
        <f t="shared" si="237"/>
        <v>0</v>
      </c>
      <c r="D703" s="2186">
        <v>7248</v>
      </c>
      <c r="E703" s="2187"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1">
        <v>7503</v>
      </c>
      <c r="U703" s="3065">
        <v>0</v>
      </c>
    </row>
    <row r="704" spans="1:21" ht="17">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1">
        <v>7505</v>
      </c>
      <c r="U704" s="3065">
        <v>0</v>
      </c>
    </row>
    <row r="705" spans="1:21" ht="17">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1">
        <v>7506</v>
      </c>
      <c r="U705" s="3065">
        <v>0</v>
      </c>
    </row>
    <row r="706" spans="1:21" ht="26">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1">
        <v>7507</v>
      </c>
      <c r="U706" s="3065">
        <v>0</v>
      </c>
    </row>
    <row r="707" spans="1:21" ht="17">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1">
        <v>7508</v>
      </c>
      <c r="U707" s="3065">
        <v>0</v>
      </c>
    </row>
    <row r="708" spans="1:21" ht="17">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1">
        <v>7509</v>
      </c>
      <c r="U708" s="3065">
        <v>0</v>
      </c>
    </row>
    <row r="709" spans="1:21" ht="17">
      <c r="A709" s="1648" t="str">
        <f t="shared" si="273"/>
        <v>＝</v>
      </c>
      <c r="B709" s="1647">
        <f t="shared" si="274"/>
        <v>0</v>
      </c>
      <c r="C709" s="1647">
        <f t="shared" si="272"/>
        <v>0</v>
      </c>
      <c r="D709" s="2186">
        <v>7299</v>
      </c>
      <c r="E709" s="2187"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1">
        <v>7510</v>
      </c>
      <c r="U709" s="3065">
        <v>0</v>
      </c>
    </row>
    <row r="710" spans="1:21" ht="26">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1">
        <v>7511</v>
      </c>
      <c r="U710" s="3065">
        <v>0</v>
      </c>
    </row>
    <row r="711" spans="1:21" ht="17">
      <c r="A711" s="1648" t="str">
        <f t="shared" si="273"/>
        <v>＝</v>
      </c>
      <c r="B711" s="1647">
        <f t="shared" si="274"/>
        <v>0</v>
      </c>
      <c r="C711" s="1647">
        <f t="shared" si="272"/>
        <v>0</v>
      </c>
      <c r="D711" s="1659">
        <v>7348</v>
      </c>
      <c r="E711" s="888" t="str">
        <f t="shared" si="275"/>
        <v>现金及现金等价物净增加额</v>
      </c>
      <c r="F711" s="884">
        <f t="shared" ref="F711:M711" si="277">SUM(F683,F697,F709,F710)</f>
        <v>-2324.91</v>
      </c>
      <c r="G711" s="885">
        <f t="shared" si="277"/>
        <v>0</v>
      </c>
      <c r="H711" s="885">
        <f t="shared" si="277"/>
        <v>0</v>
      </c>
      <c r="I711" s="913">
        <f t="shared" si="277"/>
        <v>-2324.91</v>
      </c>
      <c r="J711" s="914">
        <f t="shared" si="277"/>
        <v>17805.68</v>
      </c>
      <c r="K711" s="885">
        <f t="shared" si="277"/>
        <v>0</v>
      </c>
      <c r="L711" s="885">
        <f t="shared" si="277"/>
        <v>0</v>
      </c>
      <c r="M711" s="891">
        <f t="shared" si="277"/>
        <v>17805.68</v>
      </c>
      <c r="N711" s="641"/>
      <c r="O711" s="641"/>
      <c r="P711" s="641"/>
      <c r="Q711" s="641"/>
      <c r="T711" s="3061">
        <v>7512</v>
      </c>
      <c r="U711" s="3065">
        <v>0</v>
      </c>
    </row>
    <row r="712" spans="1:21" ht="17">
      <c r="A712" s="1648">
        <f t="shared" si="273"/>
        <v>0</v>
      </c>
      <c r="B712" s="1647">
        <f t="shared" si="274"/>
        <v>1</v>
      </c>
      <c r="C712" s="1647" t="str">
        <f t="shared" si="272"/>
        <v>J</v>
      </c>
      <c r="D712" s="1659">
        <v>7349</v>
      </c>
      <c r="E712" s="888" t="str">
        <f t="shared" si="275"/>
        <v>期初现金及现金等价物余额</v>
      </c>
      <c r="F712" s="884">
        <f>VLOOKUP($D712,Sheet_Precf,4,0)</f>
        <v>17805.68</v>
      </c>
      <c r="G712" s="918">
        <f>SUMIF(CFJE!$B:$B,$C712&amp;$D712&amp;"*",CFJE!$S:$S)</f>
        <v>0</v>
      </c>
      <c r="H712" s="918">
        <f>SUMIF(CFJE!$B:$B,$C712&amp;$D712&amp;"*",CFJE!$T:$T)</f>
        <v>0</v>
      </c>
      <c r="I712" s="913">
        <f t="shared" si="265"/>
        <v>17805.68</v>
      </c>
      <c r="J712" s="914">
        <f t="shared" si="266"/>
        <v>0</v>
      </c>
      <c r="K712" s="918"/>
      <c r="L712" s="918"/>
      <c r="M712" s="891">
        <f t="shared" si="267"/>
        <v>0</v>
      </c>
      <c r="N712" s="641"/>
      <c r="O712" s="641"/>
      <c r="P712" s="641"/>
      <c r="Q712" s="641"/>
      <c r="T712" s="3061">
        <v>7515</v>
      </c>
      <c r="U712" s="3065">
        <v>0</v>
      </c>
    </row>
    <row r="713" spans="1:21" ht="17">
      <c r="A713" s="1648" t="str">
        <f t="shared" si="273"/>
        <v>＝</v>
      </c>
      <c r="B713" s="1647">
        <f t="shared" si="274"/>
        <v>0</v>
      </c>
      <c r="C713" s="1647">
        <f t="shared" si="272"/>
        <v>0</v>
      </c>
      <c r="D713" s="1659">
        <v>7399</v>
      </c>
      <c r="E713" s="888" t="str">
        <f t="shared" si="275"/>
        <v>期末现金及现金等价物余额</v>
      </c>
      <c r="F713" s="884">
        <f t="shared" ref="F713:M713" si="278">SUM(F711,F712)</f>
        <v>15480.77</v>
      </c>
      <c r="G713" s="885">
        <f t="shared" si="278"/>
        <v>0</v>
      </c>
      <c r="H713" s="885">
        <f t="shared" si="278"/>
        <v>0</v>
      </c>
      <c r="I713" s="913">
        <f t="shared" si="278"/>
        <v>15480.77</v>
      </c>
      <c r="J713" s="914">
        <f t="shared" si="278"/>
        <v>17805.68</v>
      </c>
      <c r="K713" s="885">
        <f t="shared" si="278"/>
        <v>0</v>
      </c>
      <c r="L713" s="885">
        <f t="shared" si="278"/>
        <v>0</v>
      </c>
      <c r="M713" s="891">
        <f t="shared" si="278"/>
        <v>17805.68</v>
      </c>
      <c r="N713" s="641"/>
      <c r="O713" s="641"/>
      <c r="P713" s="641"/>
      <c r="Q713" s="641"/>
      <c r="T713" s="3061">
        <v>7516</v>
      </c>
      <c r="U713" s="3065">
        <v>0</v>
      </c>
    </row>
    <row r="714" spans="1:21" ht="17">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1">
        <v>7517</v>
      </c>
      <c r="U714" s="3065">
        <v>0</v>
      </c>
    </row>
    <row r="715" spans="1:21" ht="17">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1">
        <v>7518</v>
      </c>
      <c r="U715" s="3065">
        <v>0</v>
      </c>
    </row>
    <row r="716" spans="1:21" ht="17">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1">
        <v>7519</v>
      </c>
      <c r="U716" s="3065">
        <v>19520</v>
      </c>
    </row>
    <row r="717" spans="1:21" ht="17">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1">
        <v>7523</v>
      </c>
      <c r="U717" s="3065">
        <v>0</v>
      </c>
    </row>
    <row r="718" spans="1:21" ht="17">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1">
        <v>7525</v>
      </c>
      <c r="U718" s="3064">
        <v>17805.68</v>
      </c>
    </row>
    <row r="719" spans="1:21" ht="17">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1">
        <v>7526</v>
      </c>
      <c r="U719" s="3065"/>
    </row>
    <row r="720" spans="1:21" ht="17">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1">
        <v>7527</v>
      </c>
      <c r="U720" s="3065">
        <v>0</v>
      </c>
    </row>
    <row r="721" spans="1:21" ht="17">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1">
        <v>7528</v>
      </c>
      <c r="U721" s="3065">
        <v>0</v>
      </c>
    </row>
    <row r="722" spans="1:21" ht="17">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1">
        <v>7529</v>
      </c>
      <c r="U722" s="3065">
        <v>0</v>
      </c>
    </row>
    <row r="723" spans="1:21" ht="17">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1">
        <v>7533</v>
      </c>
      <c r="U723" s="3065"/>
    </row>
    <row r="724" spans="1:21" ht="17">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1">
        <v>7535</v>
      </c>
      <c r="U724" s="3065">
        <v>17805.68</v>
      </c>
    </row>
    <row r="725" spans="1:21" ht="17">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1">
        <v>7536</v>
      </c>
      <c r="U725" s="3065">
        <v>0</v>
      </c>
    </row>
    <row r="726" spans="1:21" ht="17">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1">
        <v>7537</v>
      </c>
      <c r="U726" s="3065">
        <v>0</v>
      </c>
    </row>
    <row r="727" spans="1:21" ht="17">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1">
        <v>7538</v>
      </c>
      <c r="U727" s="3065">
        <v>0</v>
      </c>
    </row>
    <row r="728" spans="1:21" ht="17">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1">
        <v>7539</v>
      </c>
      <c r="U728" s="3064">
        <v>17805.68</v>
      </c>
    </row>
    <row r="729" spans="1:21" ht="17">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1">
        <v>6829.5110000000004</v>
      </c>
      <c r="U729" s="3066">
        <v>0</v>
      </c>
    </row>
    <row r="730" spans="1:21" ht="17">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1">
        <v>6829.5119999999997</v>
      </c>
      <c r="U730" s="3066">
        <v>0</v>
      </c>
    </row>
    <row r="731" spans="1:21" ht="17">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1">
        <v>6829.5190000000002</v>
      </c>
      <c r="U731" s="3066">
        <v>0</v>
      </c>
    </row>
    <row r="732" spans="1:21" ht="17">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1">
        <v>6829.5309999999999</v>
      </c>
      <c r="U732" s="3066">
        <v>0</v>
      </c>
    </row>
    <row r="733" spans="1:21" ht="17">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1">
        <v>6829.5320000000002</v>
      </c>
      <c r="U733" s="3066">
        <v>0</v>
      </c>
    </row>
    <row r="734" spans="1:21" ht="17">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61">
        <v>6829.5330000000004</v>
      </c>
      <c r="U734" s="3066">
        <v>0</v>
      </c>
    </row>
    <row r="735" spans="1:21" ht="17">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1">
        <v>6829.5339999999997</v>
      </c>
      <c r="U735" s="3066">
        <v>0</v>
      </c>
    </row>
    <row r="736" spans="1:21" ht="17">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1">
        <v>6829.5349999999999</v>
      </c>
      <c r="U736" s="3066">
        <v>0</v>
      </c>
    </row>
    <row r="737" spans="1:21" ht="17">
      <c r="A737" s="1648">
        <f t="shared" si="273"/>
        <v>0</v>
      </c>
      <c r="B737" s="1647">
        <f t="shared" si="274"/>
        <v>1</v>
      </c>
      <c r="C737" s="1647">
        <f t="shared" si="272"/>
        <v>0</v>
      </c>
      <c r="D737" s="1659">
        <v>7502</v>
      </c>
      <c r="E737" s="888" t="str">
        <f t="shared" si="275"/>
        <v>净利润金额</v>
      </c>
      <c r="F737" s="917">
        <f t="shared" ref="F737:F753" si="284">VLOOKUP($D737,Sheet_Precf7,4,0)</f>
        <v>-2324.91</v>
      </c>
      <c r="G737" s="2787">
        <v>0</v>
      </c>
      <c r="H737" s="2787">
        <v>0</v>
      </c>
      <c r="I737" s="921">
        <f t="shared" ref="I737:I753" si="285">(B737*F737+G737-H737)*B737</f>
        <v>-2324.91</v>
      </c>
      <c r="J737" s="922">
        <f t="shared" ref="J737:J753" si="286">VLOOKUP($D737,Sheet_Precf7,5,0)</f>
        <v>-1714.32</v>
      </c>
      <c r="K737" s="2787">
        <v>0</v>
      </c>
      <c r="L737" s="2787">
        <v>0</v>
      </c>
      <c r="M737" s="923">
        <f t="shared" ref="M737:M753" si="287">($B737*J737+K737-L737)*$B737</f>
        <v>-1714.32</v>
      </c>
      <c r="N737" s="641"/>
      <c r="O737" s="641"/>
      <c r="P737" s="641"/>
      <c r="Q737" s="641"/>
      <c r="T737" s="3061">
        <v>6829.5360000000001</v>
      </c>
      <c r="U737" s="3066">
        <v>0</v>
      </c>
    </row>
    <row r="738" spans="1:21" ht="17">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c r="T738" s="3061">
        <v>6829.5370000000003</v>
      </c>
      <c r="U738" s="3066">
        <v>0</v>
      </c>
    </row>
    <row r="739" spans="1:21" ht="17">
      <c r="A739" s="1648" t="str">
        <f>VLOOKUP($D739,Sheet_Items,4,0)</f>
        <v>_JR</v>
      </c>
      <c r="B739" s="1647">
        <f>VLOOKUP($D739,Sheet_Items,3,0)</f>
        <v>1</v>
      </c>
      <c r="C739" s="1647">
        <f>VLOOKUP($D739,Sheet_Items,9,0)</f>
        <v>0</v>
      </c>
      <c r="D739" s="1659">
        <v>7504</v>
      </c>
      <c r="E739" s="889" t="str">
        <f>VLOOKUP($D739,Sheet_Items,2,0)</f>
        <v>信用减值损失金额</v>
      </c>
      <c r="F739" s="917">
        <f t="shared" si="284"/>
        <v>0</v>
      </c>
      <c r="G739" s="918"/>
      <c r="H739" s="918"/>
      <c r="I739" s="921">
        <f t="shared" ref="I739" si="288">(B739*F739+G739-H739)*B739</f>
        <v>0</v>
      </c>
      <c r="J739" s="922">
        <f t="shared" si="286"/>
        <v>0</v>
      </c>
      <c r="K739" s="918"/>
      <c r="L739" s="918"/>
      <c r="M739" s="923">
        <f t="shared" ref="M739" si="289">($B739*J739+K739-L739)*$B739</f>
        <v>0</v>
      </c>
      <c r="N739" s="641"/>
      <c r="O739" s="641"/>
      <c r="P739" s="641"/>
      <c r="Q739" s="641"/>
      <c r="T739" s="3061">
        <v>6829.5389999999998</v>
      </c>
      <c r="U739" s="3066">
        <v>0</v>
      </c>
    </row>
    <row r="740" spans="1:21" ht="26">
      <c r="A740" s="1648">
        <f t="shared" si="273"/>
        <v>0</v>
      </c>
      <c r="B740" s="1647">
        <f t="shared" si="274"/>
        <v>1</v>
      </c>
      <c r="C740" s="1647">
        <f t="shared" si="272"/>
        <v>0</v>
      </c>
      <c r="D740" s="1659">
        <v>7505</v>
      </c>
      <c r="E740" s="888" t="str">
        <f t="shared" si="275"/>
        <v>固定资产折旧、油气资产折耗、生产性生物资产折旧</v>
      </c>
      <c r="F740" s="917">
        <f t="shared" si="284"/>
        <v>0</v>
      </c>
      <c r="G740" s="918"/>
      <c r="H740" s="918"/>
      <c r="I740" s="921">
        <f t="shared" si="285"/>
        <v>0</v>
      </c>
      <c r="J740" s="922">
        <f t="shared" si="286"/>
        <v>0</v>
      </c>
      <c r="K740" s="918"/>
      <c r="L740" s="918"/>
      <c r="M740" s="923">
        <f t="shared" si="287"/>
        <v>0</v>
      </c>
      <c r="N740" s="641"/>
      <c r="O740" s="641"/>
      <c r="P740" s="641"/>
      <c r="Q740" s="641"/>
    </row>
    <row r="741" spans="1:21" ht="17">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7">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6">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7">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7">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7">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21" ht="17">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7">
      <c r="A748" s="1648">
        <f t="shared" si="273"/>
        <v>0</v>
      </c>
      <c r="B748" s="1647">
        <f t="shared" si="274"/>
        <v>1</v>
      </c>
      <c r="C748" s="1647">
        <f t="shared" si="272"/>
        <v>0</v>
      </c>
      <c r="D748" s="1659">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21" ht="17">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7">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7">
      <c r="A751" s="1648">
        <f t="shared" si="273"/>
        <v>0</v>
      </c>
      <c r="B751" s="1647">
        <f t="shared" si="274"/>
        <v>1</v>
      </c>
      <c r="C751" s="1647">
        <f t="shared" si="272"/>
        <v>0</v>
      </c>
      <c r="D751" s="1659">
        <v>7518</v>
      </c>
      <c r="E751" s="888" t="str">
        <f t="shared" si="275"/>
        <v>经营性应收项目的减少</v>
      </c>
      <c r="F751" s="917">
        <f t="shared" si="284"/>
        <v>0</v>
      </c>
      <c r="G751" s="918"/>
      <c r="H751" s="918"/>
      <c r="I751" s="921">
        <f t="shared" si="285"/>
        <v>0</v>
      </c>
      <c r="J751" s="922">
        <f t="shared" si="286"/>
        <v>0</v>
      </c>
      <c r="K751" s="918"/>
      <c r="L751" s="918"/>
      <c r="M751" s="923">
        <f t="shared" si="287"/>
        <v>0</v>
      </c>
      <c r="N751" s="641"/>
      <c r="O751" s="641"/>
      <c r="P751" s="641"/>
      <c r="Q751" s="641"/>
    </row>
    <row r="752" spans="1:21" ht="17">
      <c r="A752" s="1648">
        <f t="shared" si="273"/>
        <v>0</v>
      </c>
      <c r="B752" s="1647">
        <f t="shared" si="274"/>
        <v>1</v>
      </c>
      <c r="C752" s="1647">
        <f t="shared" si="272"/>
        <v>0</v>
      </c>
      <c r="D752" s="1659">
        <v>7519</v>
      </c>
      <c r="E752" s="888" t="str">
        <f t="shared" si="275"/>
        <v>经营性应付项目的增加</v>
      </c>
      <c r="F752" s="917">
        <f t="shared" si="284"/>
        <v>0</v>
      </c>
      <c r="G752" s="918"/>
      <c r="H752" s="918"/>
      <c r="I752" s="921">
        <f t="shared" si="285"/>
        <v>0</v>
      </c>
      <c r="J752" s="922">
        <f t="shared" si="286"/>
        <v>19520</v>
      </c>
      <c r="K752" s="918"/>
      <c r="L752" s="918"/>
      <c r="M752" s="923">
        <f t="shared" si="287"/>
        <v>19520</v>
      </c>
      <c r="N752" s="641"/>
      <c r="O752" s="641"/>
      <c r="P752" s="641"/>
      <c r="Q752" s="641"/>
    </row>
    <row r="753" spans="1:17" ht="26">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7">
      <c r="A754" s="1648" t="str">
        <f t="shared" si="273"/>
        <v>＝</v>
      </c>
      <c r="B754" s="1647">
        <f t="shared" si="274"/>
        <v>0</v>
      </c>
      <c r="C754" s="1647">
        <f t="shared" si="272"/>
        <v>0</v>
      </c>
      <c r="D754" s="2186">
        <v>7525</v>
      </c>
      <c r="E754" s="2187" t="str">
        <f t="shared" si="275"/>
        <v>经营活动产生的现金流量净额</v>
      </c>
      <c r="F754" s="884">
        <f>SUM(F737:F753)</f>
        <v>-2324.91</v>
      </c>
      <c r="G754" s="885">
        <f t="shared" ref="G754:M754" si="290">SUM(G737:G753)</f>
        <v>0</v>
      </c>
      <c r="H754" s="885">
        <f t="shared" si="290"/>
        <v>0</v>
      </c>
      <c r="I754" s="913">
        <f t="shared" si="290"/>
        <v>-2324.91</v>
      </c>
      <c r="J754" s="914">
        <f t="shared" si="290"/>
        <v>17805.68</v>
      </c>
      <c r="K754" s="885">
        <f t="shared" si="290"/>
        <v>0</v>
      </c>
      <c r="L754" s="885">
        <f t="shared" si="290"/>
        <v>0</v>
      </c>
      <c r="M754" s="891">
        <f t="shared" si="290"/>
        <v>17805.68</v>
      </c>
      <c r="N754" s="641"/>
      <c r="O754" s="641"/>
      <c r="P754" s="641"/>
      <c r="Q754" s="641"/>
    </row>
    <row r="755" spans="1:17" ht="26">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7">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7">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7">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7">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7">
      <c r="A760" s="1648">
        <f t="shared" si="273"/>
        <v>0</v>
      </c>
      <c r="B760" s="1647">
        <f t="shared" si="274"/>
        <v>1</v>
      </c>
      <c r="C760" s="1647">
        <f t="shared" si="272"/>
        <v>0</v>
      </c>
      <c r="D760" s="1659">
        <v>7535</v>
      </c>
      <c r="E760" s="888" t="str">
        <f t="shared" si="275"/>
        <v>现金的期末余额</v>
      </c>
      <c r="F760" s="917">
        <f>VLOOKUP($D760,Sheet_Precf7,4,0)</f>
        <v>15480.77</v>
      </c>
      <c r="G760" s="918"/>
      <c r="H760" s="918"/>
      <c r="I760" s="921">
        <f>(B760*F760+G760-H760)*B760</f>
        <v>15480.77</v>
      </c>
      <c r="J760" s="922">
        <f>VLOOKUP($D760,Sheet_Precf7,5,0)</f>
        <v>17805.68</v>
      </c>
      <c r="K760" s="918"/>
      <c r="L760" s="918"/>
      <c r="M760" s="923">
        <f>($B760*J760+K760-L760)*$B760</f>
        <v>17805.68</v>
      </c>
      <c r="N760" s="641"/>
      <c r="O760" s="641"/>
      <c r="P760" s="641"/>
      <c r="Q760" s="641"/>
    </row>
    <row r="761" spans="1:17" ht="17">
      <c r="A761" s="1648">
        <f t="shared" si="273"/>
        <v>0</v>
      </c>
      <c r="B761" s="1647">
        <f t="shared" si="274"/>
        <v>1</v>
      </c>
      <c r="C761" s="1647">
        <f t="shared" si="272"/>
        <v>0</v>
      </c>
      <c r="D761" s="1659">
        <v>7536</v>
      </c>
      <c r="E761" s="888" t="str">
        <f t="shared" si="275"/>
        <v>减：现金的年初余额</v>
      </c>
      <c r="F761" s="917">
        <f>VLOOKUP($D761,Sheet_Precf7,4,0)</f>
        <v>17805.68</v>
      </c>
      <c r="G761" s="918"/>
      <c r="H761" s="918"/>
      <c r="I761" s="921">
        <f>(B761*F761+G761-H761)*B761</f>
        <v>17805.68</v>
      </c>
      <c r="J761" s="922">
        <f>VLOOKUP($D761,Sheet_Precf7,5,0)</f>
        <v>0</v>
      </c>
      <c r="K761" s="918"/>
      <c r="L761" s="918"/>
      <c r="M761" s="923">
        <f>($B761*J761+K761-L761)*$B761</f>
        <v>0</v>
      </c>
      <c r="N761" s="641"/>
      <c r="O761" s="641"/>
      <c r="P761" s="641"/>
      <c r="Q761" s="641"/>
    </row>
    <row r="762" spans="1:17" ht="17">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7">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7">
      <c r="A764" s="1648" t="str">
        <f t="shared" si="273"/>
        <v>＝</v>
      </c>
      <c r="B764" s="1647">
        <f t="shared" si="274"/>
        <v>1</v>
      </c>
      <c r="C764" s="1647">
        <f t="shared" si="272"/>
        <v>0</v>
      </c>
      <c r="D764" s="2186">
        <v>7539</v>
      </c>
      <c r="E764" s="2187" t="str">
        <f t="shared" si="275"/>
        <v>现金及现金等价物净增加额</v>
      </c>
      <c r="F764" s="884">
        <f>SUM(F760,-F761,F762,-F763)</f>
        <v>-2324.91</v>
      </c>
      <c r="G764" s="885">
        <f>SUM(G760:G763)</f>
        <v>0</v>
      </c>
      <c r="H764" s="885">
        <f>SUM(H760:H763)</f>
        <v>0</v>
      </c>
      <c r="I764" s="913">
        <f>SUM(I760,-I761,I762,-I763)</f>
        <v>-2324.91</v>
      </c>
      <c r="J764" s="914">
        <f>SUM(J760,-J761,J762,-J763)</f>
        <v>17805.68</v>
      </c>
      <c r="K764" s="885">
        <f>SUM(K760:K763)</f>
        <v>0</v>
      </c>
      <c r="L764" s="885">
        <f>SUM(L760:L763)</f>
        <v>0</v>
      </c>
      <c r="M764" s="891">
        <f>SUM(M760,-M761,M762,-M763)</f>
        <v>17805.68</v>
      </c>
      <c r="N764" s="641"/>
      <c r="O764" s="641"/>
      <c r="P764" s="641"/>
      <c r="Q764" s="641"/>
    </row>
    <row r="765" spans="1:17" ht="26">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6">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6">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6">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6">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39">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6">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6">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52">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65">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6">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6">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6">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6">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52">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65">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6">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5">
      <c r="A784" s="1649" t="s">
        <v>2565</v>
      </c>
      <c r="D784" s="932"/>
      <c r="E784" s="933" t="s">
        <v>2661</v>
      </c>
      <c r="F784" s="934" t="str">
        <f>$F$7</f>
        <v>本期</v>
      </c>
      <c r="G784" s="935"/>
      <c r="H784" s="936"/>
      <c r="I784" s="946" t="str">
        <f>$F$7</f>
        <v>本期</v>
      </c>
      <c r="J784" s="947" t="str">
        <f>$J$7</f>
        <v>上期</v>
      </c>
      <c r="K784" s="936"/>
      <c r="L784" s="936"/>
      <c r="M784" s="948" t="str">
        <f>$J$7</f>
        <v>上期</v>
      </c>
    </row>
    <row r="785" spans="1:13">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7">
      <c r="A786" s="1650" t="s">
        <v>2565</v>
      </c>
      <c r="D786" s="932" t="s">
        <v>428</v>
      </c>
      <c r="E786" s="940" t="str">
        <f>E64</f>
        <v>资产</v>
      </c>
      <c r="F786" s="2198">
        <f ca="1">HYPERLINK("#'"&amp;$G$1&amp;"'!"&amp;ADDRESS(ROW(TB!F64),COLUMN(TB!F64),4),F64)</f>
        <v>15960.77</v>
      </c>
      <c r="G786" s="737"/>
      <c r="H786" s="737"/>
      <c r="I786" s="2199">
        <f ca="1">HYPERLINK("#'"&amp;$G$1&amp;"'!"&amp;ADDRESS(ROW(TB!I64),COLUMN(TB!I64),4),I64)</f>
        <v>15960.77</v>
      </c>
      <c r="J786" s="2198">
        <f ca="1">HYPERLINK("#'"&amp;$G$1&amp;"'!"&amp;ADDRESS(ROW(TB!J64),COLUMN(TB!J64),4),J64)</f>
        <v>18285.68</v>
      </c>
      <c r="K786" s="734"/>
      <c r="L786" s="734"/>
      <c r="M786" s="2200">
        <f ca="1">HYPERLINK("#'"&amp;$G$1&amp;"'!"&amp;ADDRESS(ROW(TB!M64),COLUMN(TB!M64),4),M64)</f>
        <v>18285.68</v>
      </c>
    </row>
    <row r="787" spans="1:13" ht="17">
      <c r="A787" s="1650" t="s">
        <v>2565</v>
      </c>
      <c r="D787" s="932" t="s">
        <v>428</v>
      </c>
      <c r="E787" s="941" t="str">
        <f>E125</f>
        <v>负债和所有者权益</v>
      </c>
      <c r="F787" s="2201">
        <f ca="1">HYPERLINK("#'"&amp;$G$1&amp;"'!"&amp;ADDRESS(ROW(TB!F125),COLUMN(TB!F125),4),F125)</f>
        <v>15960.77</v>
      </c>
      <c r="G787" s="737"/>
      <c r="H787" s="737"/>
      <c r="I787" s="2202">
        <f ca="1">HYPERLINK("#'"&amp;$G$1&amp;"'!"&amp;ADDRESS(ROW(TB!I125),COLUMN(TB!I125),4),I125)</f>
        <v>15960.77</v>
      </c>
      <c r="J787" s="2201">
        <f ca="1">HYPERLINK("#'"&amp;$G$1&amp;"'!"&amp;ADDRESS(ROW(TB!J125),COLUMN(TB!J125),4),J125)</f>
        <v>18285.68</v>
      </c>
      <c r="K787" s="737"/>
      <c r="L787" s="737"/>
      <c r="M787" s="2203">
        <f ca="1">HYPERLINK("#'"&amp;$G$1&amp;"'!"&amp;ADDRESS(ROW(TB!M125),COLUMN(TB!M125),4),M125)</f>
        <v>18285.68</v>
      </c>
    </row>
    <row r="788" spans="1:13" ht="17">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7">
      <c r="A789" s="1650" t="s">
        <v>2565</v>
      </c>
      <c r="D789" s="932"/>
      <c r="E789" s="944"/>
      <c r="F789" s="945" t="str">
        <f ca="1">IF(F788=0,"√","×")</f>
        <v>√</v>
      </c>
      <c r="G789" s="641"/>
      <c r="H789" s="641"/>
      <c r="I789" s="954" t="str">
        <f ca="1">IF(I788=0,"√","×")</f>
        <v>√</v>
      </c>
      <c r="J789" s="945" t="str">
        <f ca="1">IF(J788=0,"√","×")</f>
        <v>√</v>
      </c>
      <c r="K789" s="641"/>
      <c r="L789" s="641"/>
      <c r="M789" s="955" t="str">
        <f ca="1">IF(M788=0,"√","×")</f>
        <v>√</v>
      </c>
    </row>
    <row r="790" spans="1:13" ht="17">
      <c r="A790" s="1650" t="s">
        <v>2565</v>
      </c>
      <c r="D790" s="932" t="s">
        <v>441</v>
      </c>
      <c r="E790" s="940" t="str">
        <f>E163</f>
        <v>净利润</v>
      </c>
      <c r="F790" s="2204">
        <f ca="1">HYPERLINK("#'"&amp;$G$1&amp;"'!"&amp;ADDRESS(ROW(TB!F163),COLUMN(TB!F163),4),F163)</f>
        <v>-2324.91</v>
      </c>
      <c r="G790" s="737"/>
      <c r="H790" s="737"/>
      <c r="I790" s="2199">
        <f ca="1">HYPERLINK("#'"&amp;$G$1&amp;"'!"&amp;ADDRESS(ROW(TB!I163),COLUMN(TB!I163),4),I163)</f>
        <v>-2324.91</v>
      </c>
      <c r="J790" s="2204">
        <f ca="1">HYPERLINK("#'"&amp;$G$1&amp;"'!"&amp;ADDRESS(ROW(TB!J163),COLUMN(TB!J163),4),J163)</f>
        <v>-1714.32</v>
      </c>
      <c r="K790" s="737"/>
      <c r="L790" s="737"/>
      <c r="M790" s="2200">
        <f ca="1">HYPERLINK("#'"&amp;$G$1&amp;"'!"&amp;ADDRESS(ROW(TB!M163),COLUMN(TB!M163),4),M163)</f>
        <v>-1714.32</v>
      </c>
    </row>
    <row r="791" spans="1:13" ht="17">
      <c r="A791" s="1650" t="s">
        <v>2565</v>
      </c>
      <c r="D791" s="932" t="s">
        <v>441</v>
      </c>
      <c r="E791" s="941" t="str">
        <f>E169</f>
        <v>归属于母公司所有者的净利润</v>
      </c>
      <c r="F791" s="2204">
        <f ca="1">HYPERLINK("#'"&amp;$G$1&amp;"'!"&amp;ADDRESS(ROW(TB!F169),COLUMN(TB!F169),4),F169)</f>
        <v>-2324.91</v>
      </c>
      <c r="G791" s="737"/>
      <c r="H791" s="737"/>
      <c r="I791" s="2199">
        <f ca="1">HYPERLINK("#'"&amp;$G$1&amp;"'!"&amp;ADDRESS(ROW(TB!I169),COLUMN(TB!I169),4),I169)</f>
        <v>-2324.91</v>
      </c>
      <c r="J791" s="2204">
        <f ca="1">HYPERLINK("#'"&amp;$G$1&amp;"'!"&amp;ADDRESS(ROW(TB!J169),COLUMN(TB!J169),4),J169)</f>
        <v>-1714.32</v>
      </c>
      <c r="K791" s="737"/>
      <c r="L791" s="737"/>
      <c r="M791" s="2200">
        <f ca="1">HYPERLINK("#'"&amp;$G$1&amp;"'!"&amp;ADDRESS(ROW(TB!M169),COLUMN(TB!M169),4),M169)</f>
        <v>-1714.32</v>
      </c>
    </row>
    <row r="792" spans="1:13" ht="17">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7">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7">
      <c r="A795" s="1650" t="s">
        <v>2565</v>
      </c>
      <c r="D795" s="932" t="s">
        <v>441</v>
      </c>
      <c r="E795" s="940" t="str">
        <f>E163</f>
        <v>净利润</v>
      </c>
      <c r="F795" s="2204">
        <f ca="1">HYPERLINK("#'"&amp;$G$1&amp;"'!"&amp;ADDRESS(ROW(TB!F163),COLUMN(TB!F163),4),F163)</f>
        <v>-2324.91</v>
      </c>
      <c r="G795" s="737"/>
      <c r="H795" s="737"/>
      <c r="I795" s="2199"/>
      <c r="J795" s="2204">
        <f ca="1">HYPERLINK("#'"&amp;$G$1&amp;"'!"&amp;ADDRESS(ROW(TB!J163),COLUMN(TB!J163),4),J163)</f>
        <v>-1714.32</v>
      </c>
      <c r="K795" s="737"/>
      <c r="L795" s="737"/>
      <c r="M795" s="2200"/>
    </row>
    <row r="796" spans="1:13" ht="17">
      <c r="A796" s="1650" t="s">
        <v>2565</v>
      </c>
      <c r="D796" s="932" t="s">
        <v>441</v>
      </c>
      <c r="E796" s="941" t="str">
        <f>E165</f>
        <v>持续经营净利润</v>
      </c>
      <c r="F796" s="2204">
        <f ca="1">HYPERLINK("#'"&amp;$G$1&amp;"'!"&amp;ADDRESS(ROW(TB!F165),COLUMN(TB!F165),4),F165)</f>
        <v>-2324.91</v>
      </c>
      <c r="G796" s="737"/>
      <c r="H796" s="737"/>
      <c r="I796" s="2199"/>
      <c r="J796" s="2204">
        <f ca="1">HYPERLINK("#'"&amp;$G$1&amp;"'!"&amp;ADDRESS(ROW(TB!J165),COLUMN(TB!J165),4),J165)</f>
        <v>-1714.32</v>
      </c>
      <c r="K796" s="737"/>
      <c r="L796" s="737"/>
      <c r="M796" s="2200"/>
    </row>
    <row r="797" spans="1:13" ht="17">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7">
      <c r="A800" s="1650" t="s">
        <v>2565</v>
      </c>
      <c r="D800" s="932" t="s">
        <v>441</v>
      </c>
      <c r="E800" s="940" t="str">
        <f t="shared" ref="E800:E802" si="301">E192</f>
        <v>综合收益总额</v>
      </c>
      <c r="F800" s="2204">
        <f ca="1">HYPERLINK("#'"&amp;$G$1&amp;"'!"&amp;ADDRESS(ROW(TB!F192),COLUMN(TB!F192),4),F192)</f>
        <v>-2324.91</v>
      </c>
      <c r="G800" s="737"/>
      <c r="H800" s="737"/>
      <c r="I800" s="2199">
        <f ca="1">HYPERLINK("#'"&amp;$G$1&amp;"'!"&amp;ADDRESS(ROW(TB!I192),COLUMN(TB!I192),4),I192)</f>
        <v>-2324.91</v>
      </c>
      <c r="J800" s="2204">
        <f ca="1">HYPERLINK("#'"&amp;$G$1&amp;"'!"&amp;ADDRESS(ROW(TB!J192),COLUMN(TB!J192),4),J192)</f>
        <v>-1714.32</v>
      </c>
      <c r="K800" s="737"/>
      <c r="L800" s="737"/>
      <c r="M800" s="2200">
        <f ca="1">HYPERLINK("#'"&amp;$G$1&amp;"'!"&amp;ADDRESS(ROW(TB!M192),COLUMN(TB!M192),4),M192)</f>
        <v>-1714.32</v>
      </c>
    </row>
    <row r="801" spans="1:13" ht="26">
      <c r="A801" s="1650" t="s">
        <v>2565</v>
      </c>
      <c r="D801" s="932" t="s">
        <v>441</v>
      </c>
      <c r="E801" s="941" t="str">
        <f t="shared" si="301"/>
        <v>归属于母公司所有者的综合收益总额</v>
      </c>
      <c r="F801" s="2204">
        <f ca="1">HYPERLINK("#'"&amp;$G$1&amp;"'!"&amp;ADDRESS(ROW(TB!F193),COLUMN(TB!F193),4),F193)</f>
        <v>-2324.91</v>
      </c>
      <c r="G801" s="737"/>
      <c r="H801" s="737"/>
      <c r="I801" s="2199">
        <f ca="1">HYPERLINK("#'"&amp;$G$1&amp;"'!"&amp;ADDRESS(ROW(TB!I193),COLUMN(TB!I193),4),I193)</f>
        <v>-2324.91</v>
      </c>
      <c r="J801" s="2204">
        <f ca="1">HYPERLINK("#'"&amp;$G$1&amp;"'!"&amp;ADDRESS(ROW(TB!J193),COLUMN(TB!J193),4),J193)</f>
        <v>-1714.32</v>
      </c>
      <c r="K801" s="737"/>
      <c r="L801" s="737"/>
      <c r="M801" s="2200">
        <f ca="1">HYPERLINK("#'"&amp;$G$1&amp;"'!"&amp;ADDRESS(ROW(TB!M193),COLUMN(TB!M193),4),M193)</f>
        <v>-1714.32</v>
      </c>
    </row>
    <row r="802" spans="1:13" ht="26">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7">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7">
      <c r="A804" s="1650" t="s">
        <v>2565</v>
      </c>
      <c r="D804" s="932"/>
      <c r="E804" s="944"/>
      <c r="F804" s="945" t="str">
        <f ca="1">IF(F803=0,"√","×")</f>
        <v>√</v>
      </c>
      <c r="G804" s="641"/>
      <c r="H804" s="641"/>
      <c r="I804" s="954" t="str">
        <f ca="1">IF(I803=0,"√","×")</f>
        <v>√</v>
      </c>
      <c r="J804" s="945" t="str">
        <f ca="1">IF(J803=0,"√","×")</f>
        <v>√</v>
      </c>
      <c r="K804" s="641"/>
      <c r="L804" s="641"/>
      <c r="M804" s="955" t="str">
        <f ca="1">IF(M803=0,"√","×")</f>
        <v>√</v>
      </c>
    </row>
    <row r="805" spans="1:13" ht="17">
      <c r="A805" s="1650" t="s">
        <v>2565</v>
      </c>
      <c r="D805" s="932" t="s">
        <v>441</v>
      </c>
      <c r="E805" s="940" t="str">
        <f>E169</f>
        <v>归属于母公司所有者的净利润</v>
      </c>
      <c r="F805" s="2204">
        <f ca="1">HYPERLINK("#'"&amp;$G$1&amp;"'!"&amp;ADDRESS(ROW(TB!F169),COLUMN(TB!F169),4),F169)</f>
        <v>-2324.91</v>
      </c>
      <c r="G805" s="737"/>
      <c r="H805" s="737"/>
      <c r="I805" s="2199">
        <f ca="1">HYPERLINK("#'"&amp;$G$1&amp;"'!"&amp;ADDRESS(ROW(TB!I169),COLUMN(TB!I169),4),I169)</f>
        <v>-2324.91</v>
      </c>
      <c r="J805" s="2204">
        <f ca="1">HYPERLINK("#'"&amp;$G$1&amp;"'!"&amp;ADDRESS(ROW(TB!J169),COLUMN(TB!J169),4),J169)</f>
        <v>-1714.32</v>
      </c>
      <c r="K805" s="737"/>
      <c r="L805" s="737"/>
      <c r="M805" s="2200">
        <f ca="1">HYPERLINK("#'"&amp;$G$1&amp;"'!"&amp;ADDRESS(ROW(TB!M169),COLUMN(TB!M169),4),M169)</f>
        <v>-1714.32</v>
      </c>
    </row>
    <row r="806" spans="1:13" ht="26">
      <c r="A806" s="1650" t="s">
        <v>2565</v>
      </c>
      <c r="D806" s="932" t="s">
        <v>442</v>
      </c>
      <c r="E806" s="941" t="str">
        <f>E567</f>
        <v>未分配利润_综合收益总额增加权益</v>
      </c>
      <c r="F806" s="2204">
        <f ca="1">HYPERLINK("#'"&amp;$G$1&amp;"'!"&amp;ADDRESS(ROW(TB!F567),COLUMN(TB!F567),4),F567)</f>
        <v>-2324.91</v>
      </c>
      <c r="G806" s="737"/>
      <c r="H806" s="737"/>
      <c r="I806" s="2202">
        <f ca="1">HYPERLINK("#'"&amp;$G$1&amp;"'!"&amp;ADDRESS(ROW(TB!I567),COLUMN(TB!I567),4),I567)</f>
        <v>-2324.91</v>
      </c>
      <c r="J806" s="2204">
        <f ca="1">HYPERLINK("#'"&amp;$G$1&amp;"'!"&amp;ADDRESS(ROW(TB!J567),COLUMN(TB!J567),4),J567)</f>
        <v>-1714.32</v>
      </c>
      <c r="K806" s="737"/>
      <c r="L806" s="737"/>
      <c r="M806" s="2200">
        <f ca="1">HYPERLINK("#'"&amp;$G$1&amp;"'!"&amp;ADDRESS(ROW(TB!M567),COLUMN(TB!M567),4),M567)</f>
        <v>-1714.32</v>
      </c>
    </row>
    <row r="807" spans="1:13" ht="17">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7">
      <c r="A808" s="1650" t="s">
        <v>2565</v>
      </c>
      <c r="D808" s="932"/>
      <c r="E808" s="944"/>
      <c r="F808" s="945" t="str">
        <f ca="1">IF(F807=0,"√","×")</f>
        <v>√</v>
      </c>
      <c r="G808" s="641"/>
      <c r="H808" s="641"/>
      <c r="I808" s="954" t="str">
        <f ca="1">IF(I807=0,"√","×")</f>
        <v>√</v>
      </c>
      <c r="J808" s="945" t="str">
        <f ca="1">IF(J807=0,"√","×")</f>
        <v>√</v>
      </c>
      <c r="K808" s="641"/>
      <c r="L808" s="641"/>
      <c r="M808" s="955" t="str">
        <f ca="1">IF(M807=0,"√","×")</f>
        <v>√</v>
      </c>
    </row>
    <row r="809" spans="1:13" ht="26">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6">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7">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7">
      <c r="A812" s="1650" t="s">
        <v>2565</v>
      </c>
      <c r="D812" s="932"/>
      <c r="E812" s="944"/>
      <c r="F812" s="945" t="str">
        <f ca="1">IF(F811=0,"√","×")</f>
        <v>√</v>
      </c>
      <c r="G812" s="641"/>
      <c r="H812" s="641"/>
      <c r="I812" s="954" t="str">
        <f ca="1">IF(I811=0,"√","×")</f>
        <v>√</v>
      </c>
      <c r="J812" s="945" t="str">
        <f ca="1">IF(J811=0,"√","×")</f>
        <v>√</v>
      </c>
      <c r="K812" s="641"/>
      <c r="L812" s="641"/>
      <c r="M812" s="955" t="str">
        <f ca="1">IF(M811=0,"√","×")</f>
        <v>√</v>
      </c>
    </row>
    <row r="813" spans="1:13" ht="17">
      <c r="A813" s="1650" t="s">
        <v>2565</v>
      </c>
      <c r="D813" s="932" t="s">
        <v>441</v>
      </c>
      <c r="E813" s="940" t="str">
        <f>E192</f>
        <v>综合收益总额</v>
      </c>
      <c r="F813" s="2204">
        <f ca="1">HYPERLINK("#'"&amp;$G$1&amp;"'!"&amp;ADDRESS(ROW(TB!F192),COLUMN(TB!F192),4),F192)</f>
        <v>-2324.91</v>
      </c>
      <c r="G813" s="737"/>
      <c r="H813" s="737"/>
      <c r="I813" s="2199">
        <f ca="1">HYPERLINK("#'"&amp;$G$1&amp;"'!"&amp;ADDRESS(ROW(TB!I192),COLUMN(TB!I192),4),I192)</f>
        <v>-2324.91</v>
      </c>
      <c r="J813" s="2204">
        <f ca="1">HYPERLINK("#'"&amp;$G$1&amp;"'!"&amp;ADDRESS(ROW(TB!J192),COLUMN(TB!J192),4),J192)</f>
        <v>-1714.32</v>
      </c>
      <c r="K813" s="737"/>
      <c r="L813" s="737"/>
      <c r="M813" s="2200">
        <f ca="1">HYPERLINK("#'"&amp;$G$1&amp;"'!"&amp;ADDRESS(ROW(TB!M192),COLUMN(TB!M192),4),M192)</f>
        <v>-1714.32</v>
      </c>
    </row>
    <row r="814" spans="1:13" ht="26">
      <c r="A814" s="1650" t="s">
        <v>2565</v>
      </c>
      <c r="D814" s="932" t="s">
        <v>442</v>
      </c>
      <c r="E814" s="941" t="str">
        <f>E212</f>
        <v>所有者权益_综合收益总额增加权益</v>
      </c>
      <c r="F814" s="2204">
        <f ca="1">HYPERLINK("#'"&amp;$G$1&amp;"'!"&amp;ADDRESS(ROW(TB!F212),COLUMN(TB!F212),4),F212)</f>
        <v>-2324.91</v>
      </c>
      <c r="G814" s="737"/>
      <c r="H814" s="737"/>
      <c r="I814" s="2202">
        <f ca="1">HYPERLINK("#'"&amp;$G$1&amp;"'!"&amp;ADDRESS(ROW(TB!I212),COLUMN(TB!I212),4),I212)</f>
        <v>-2324.91</v>
      </c>
      <c r="J814" s="2204">
        <f ca="1">HYPERLINK("#'"&amp;$G$1&amp;"'!"&amp;ADDRESS(ROW(TB!J212),COLUMN(TB!J212),4),J212)</f>
        <v>-1714.32</v>
      </c>
      <c r="K814" s="737"/>
      <c r="L814" s="737"/>
      <c r="M814" s="2200">
        <f ca="1">HYPERLINK("#'"&amp;$G$1&amp;"'!"&amp;ADDRESS(ROW(TB!M212),COLUMN(TB!M212),4),M212)</f>
        <v>-1714.32</v>
      </c>
    </row>
    <row r="815" spans="1:13" ht="17">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7">
      <c r="A816" s="1650" t="s">
        <v>2565</v>
      </c>
      <c r="D816" s="932"/>
      <c r="E816" s="944"/>
      <c r="F816" s="945" t="str">
        <f ca="1">IF(F815=0,"√","×")</f>
        <v>√</v>
      </c>
      <c r="G816" s="641"/>
      <c r="H816" s="641"/>
      <c r="I816" s="954" t="str">
        <f ca="1">IF(I815=0,"√","×")</f>
        <v>√</v>
      </c>
      <c r="J816" s="945" t="str">
        <f ca="1">IF(J815=0,"√","×")</f>
        <v>√</v>
      </c>
      <c r="K816" s="641"/>
      <c r="L816" s="641"/>
      <c r="M816" s="955" t="str">
        <f ca="1">IF(M815=0,"√","×")</f>
        <v>√</v>
      </c>
    </row>
    <row r="817" spans="1:13" ht="26">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6">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7">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7">
      <c r="A820" s="1650" t="s">
        <v>2565</v>
      </c>
      <c r="D820" s="932"/>
      <c r="E820" s="944"/>
      <c r="F820" s="945" t="str">
        <f ca="1">IF(F819=0,"√","×")</f>
        <v>√</v>
      </c>
      <c r="G820" s="641"/>
      <c r="H820" s="641"/>
      <c r="I820" s="954" t="str">
        <f ca="1">IF(I819=0,"√","×")</f>
        <v>√</v>
      </c>
      <c r="J820" s="945" t="str">
        <f ca="1">IF(J819=0,"√","×")</f>
        <v>√</v>
      </c>
      <c r="K820" s="641"/>
      <c r="L820" s="641"/>
      <c r="M820" s="955" t="str">
        <f ca="1">IF(M819=0,"√","×")</f>
        <v>√</v>
      </c>
    </row>
    <row r="821" spans="1:13" ht="17">
      <c r="A821" s="1650" t="s">
        <v>2565</v>
      </c>
      <c r="D821" s="932" t="s">
        <v>441</v>
      </c>
      <c r="E821" s="940" t="str">
        <f>E163</f>
        <v>净利润</v>
      </c>
      <c r="F821" s="2204">
        <f ca="1">HYPERLINK("#'"&amp;$G$1&amp;"'!"&amp;ADDRESS(ROW(TB!F163),COLUMN(TB!F163),4),F163)</f>
        <v>-2324.91</v>
      </c>
      <c r="G821" s="737"/>
      <c r="H821" s="737"/>
      <c r="I821" s="2199">
        <f ca="1">HYPERLINK("#'"&amp;$G$1&amp;"'!"&amp;ADDRESS(ROW(TB!I163),COLUMN(TB!I163),4),I163)</f>
        <v>-2324.91</v>
      </c>
      <c r="J821" s="2204">
        <f ca="1">HYPERLINK("#'"&amp;$G$1&amp;"'!"&amp;ADDRESS(ROW(TB!J163),COLUMN(TB!J163),4),J163)</f>
        <v>-1714.32</v>
      </c>
      <c r="K821" s="737"/>
      <c r="L821" s="737"/>
      <c r="M821" s="2200">
        <f ca="1">HYPERLINK("#'"&amp;$G$1&amp;"'!"&amp;ADDRESS(ROW(TB!M163),COLUMN(TB!M163),4),M163)</f>
        <v>-1714.32</v>
      </c>
    </row>
    <row r="822" spans="1:13" ht="17">
      <c r="A822" s="1650" t="s">
        <v>2565</v>
      </c>
      <c r="D822" s="932" t="s">
        <v>578</v>
      </c>
      <c r="E822" s="941" t="str">
        <f>E737</f>
        <v>净利润金额</v>
      </c>
      <c r="F822" s="2204">
        <f ca="1">HYPERLINK("#'"&amp;$G$1&amp;"'!"&amp;ADDRESS(ROW(TB!F737),COLUMN(TB!F737),4),F737)</f>
        <v>-2324.91</v>
      </c>
      <c r="G822" s="737"/>
      <c r="H822" s="737"/>
      <c r="I822" s="2202">
        <f ca="1">HYPERLINK("#'"&amp;$G$1&amp;"'!"&amp;ADDRESS(ROW(TB!I737),COLUMN(TB!I737),4),I737)</f>
        <v>-2324.91</v>
      </c>
      <c r="J822" s="2204">
        <f ca="1">HYPERLINK("#'"&amp;$G$1&amp;"'!"&amp;ADDRESS(ROW(TB!J737),COLUMN(TB!J737),4),J737)</f>
        <v>-1714.32</v>
      </c>
      <c r="K822" s="737"/>
      <c r="L822" s="737"/>
      <c r="M822" s="2200">
        <f ca="1">HYPERLINK("#'"&amp;$G$1&amp;"'!"&amp;ADDRESS(ROW(TB!M737),COLUMN(TB!M737),4),M737)</f>
        <v>-1714.32</v>
      </c>
    </row>
    <row r="823" spans="1:13" ht="17">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7">
      <c r="A824" s="1650" t="s">
        <v>2565</v>
      </c>
      <c r="D824" s="932"/>
      <c r="E824" s="944"/>
      <c r="F824" s="945" t="str">
        <f ca="1">IF(F823=0,"√","×")</f>
        <v>√</v>
      </c>
      <c r="G824" s="641"/>
      <c r="H824" s="641"/>
      <c r="I824" s="954" t="str">
        <f ca="1">IF(I823=0,"√","×")</f>
        <v>√</v>
      </c>
      <c r="J824" s="945" t="str">
        <f ca="1">IF(J823=0,"√","×")</f>
        <v>√</v>
      </c>
      <c r="K824" s="641"/>
      <c r="L824" s="641"/>
      <c r="M824" s="955" t="str">
        <f ca="1">IF(M823=0,"√","×")</f>
        <v>√</v>
      </c>
    </row>
    <row r="825" spans="1:13" ht="17">
      <c r="A825" s="1650" t="s">
        <v>2565</v>
      </c>
      <c r="D825" s="932" t="s">
        <v>578</v>
      </c>
      <c r="E825" s="940" t="str">
        <f>E683</f>
        <v>经营活动产生的现金流量净额</v>
      </c>
      <c r="F825" s="2204">
        <f ca="1">HYPERLINK("#'"&amp;$G$1&amp;"'!"&amp;ADDRESS(ROW(TB!F683),COLUMN(TB!F683),4),F683)</f>
        <v>-2324.91</v>
      </c>
      <c r="G825" s="737"/>
      <c r="H825" s="737"/>
      <c r="I825" s="2199">
        <f ca="1">HYPERLINK("#'"&amp;$G$1&amp;"'!"&amp;ADDRESS(ROW(TB!I683),COLUMN(TB!I683),4),I683)</f>
        <v>-2324.91</v>
      </c>
      <c r="J825" s="2204">
        <f ca="1">HYPERLINK("#'"&amp;$G$1&amp;"'!"&amp;ADDRESS(ROW(TB!J683),COLUMN(TB!J683),4),J683)</f>
        <v>17805.68</v>
      </c>
      <c r="K825" s="737"/>
      <c r="L825" s="737"/>
      <c r="M825" s="2200">
        <f ca="1">HYPERLINK("#'"&amp;$G$1&amp;"'!"&amp;ADDRESS(ROW(TB!M683),COLUMN(TB!M683),4),M683)</f>
        <v>17805.68</v>
      </c>
    </row>
    <row r="826" spans="1:13" ht="17">
      <c r="A826" s="1650" t="s">
        <v>2565</v>
      </c>
      <c r="D826" s="932" t="s">
        <v>578</v>
      </c>
      <c r="E826" s="941" t="str">
        <f>E754</f>
        <v>经营活动产生的现金流量净额</v>
      </c>
      <c r="F826" s="2204">
        <f ca="1">HYPERLINK("#'"&amp;$G$1&amp;"'!"&amp;ADDRESS(ROW(TB!F754),COLUMN(TB!F754),4),F754)</f>
        <v>-2324.91</v>
      </c>
      <c r="G826" s="737"/>
      <c r="H826" s="737"/>
      <c r="I826" s="2202">
        <f ca="1">HYPERLINK("#'"&amp;$G$1&amp;"'!"&amp;ADDRESS(ROW(TB!I754),COLUMN(TB!I754),4),I754)</f>
        <v>-2324.91</v>
      </c>
      <c r="J826" s="2204">
        <f ca="1">HYPERLINK("#'"&amp;$G$1&amp;"'!"&amp;ADDRESS(ROW(TB!J754),COLUMN(TB!J754),4),J754)</f>
        <v>17805.68</v>
      </c>
      <c r="K826" s="737"/>
      <c r="L826" s="737"/>
      <c r="M826" s="2200">
        <f ca="1">HYPERLINK("#'"&amp;$G$1&amp;"'!"&amp;ADDRESS(ROW(TB!M754),COLUMN(TB!M754),4),M754)</f>
        <v>17805.68</v>
      </c>
    </row>
    <row r="827" spans="1:13" ht="17">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7">
      <c r="A828" s="1650" t="s">
        <v>2565</v>
      </c>
      <c r="D828" s="932"/>
      <c r="E828" s="944"/>
      <c r="F828" s="945" t="str">
        <f ca="1">IF(F827=0,"√","×")</f>
        <v>√</v>
      </c>
      <c r="G828" s="641"/>
      <c r="H828" s="641"/>
      <c r="I828" s="954" t="str">
        <f ca="1">IF(I827=0,"√","×")</f>
        <v>√</v>
      </c>
      <c r="J828" s="945" t="str">
        <f ca="1">IF(J827=0,"√","×")</f>
        <v>√</v>
      </c>
      <c r="K828" s="641"/>
      <c r="L828" s="641"/>
      <c r="M828" s="955" t="str">
        <f ca="1">IF(M827=0,"√","×")</f>
        <v>√</v>
      </c>
    </row>
    <row r="829" spans="1:13" ht="17">
      <c r="A829" s="1650" t="s">
        <v>2565</v>
      </c>
      <c r="D829" s="932" t="s">
        <v>578</v>
      </c>
      <c r="E829" s="940" t="str">
        <f>E711</f>
        <v>现金及现金等价物净增加额</v>
      </c>
      <c r="F829" s="2204">
        <f ca="1">HYPERLINK("#'"&amp;$G$1&amp;"'!"&amp;ADDRESS(ROW(TB!F711),COLUMN(TB!F711),4),F711)</f>
        <v>-2324.91</v>
      </c>
      <c r="G829" s="737"/>
      <c r="H829" s="737"/>
      <c r="I829" s="2199">
        <f ca="1">HYPERLINK("#'"&amp;$G$1&amp;"'!"&amp;ADDRESS(ROW(TB!I711),COLUMN(TB!I711),4),I711)</f>
        <v>-2324.91</v>
      </c>
      <c r="J829" s="2204">
        <f ca="1">HYPERLINK("#'"&amp;$G$1&amp;"'!"&amp;ADDRESS(ROW(TB!J711),COLUMN(TB!J711),4),J711)</f>
        <v>17805.68</v>
      </c>
      <c r="K829" s="737"/>
      <c r="L829" s="737"/>
      <c r="M829" s="2200">
        <f ca="1">HYPERLINK("#'"&amp;$G$1&amp;"'!"&amp;ADDRESS(ROW(TB!M711),COLUMN(TB!M711),4),M711)</f>
        <v>17805.68</v>
      </c>
    </row>
    <row r="830" spans="1:13" ht="17">
      <c r="A830" s="1650" t="s">
        <v>2565</v>
      </c>
      <c r="D830" s="932" t="s">
        <v>578</v>
      </c>
      <c r="E830" s="941" t="str">
        <f>E764</f>
        <v>现金及现金等价物净增加额</v>
      </c>
      <c r="F830" s="2204">
        <f ca="1">HYPERLINK("#'"&amp;$G$1&amp;"'!"&amp;ADDRESS(ROW(TB!F764),COLUMN(TB!F764),4),F764)</f>
        <v>-2324.91</v>
      </c>
      <c r="G830" s="737"/>
      <c r="H830" s="737"/>
      <c r="I830" s="2202">
        <f ca="1">HYPERLINK("#'"&amp;$G$1&amp;"'!"&amp;ADDRESS(ROW(TB!I764),COLUMN(TB!I764),4),I764)</f>
        <v>-2324.91</v>
      </c>
      <c r="J830" s="2204">
        <f ca="1">HYPERLINK("#'"&amp;$G$1&amp;"'!"&amp;ADDRESS(ROW(TB!J764),COLUMN(TB!J764),4),J764)</f>
        <v>17805.68</v>
      </c>
      <c r="K830" s="737"/>
      <c r="L830" s="737"/>
      <c r="M830" s="2200">
        <f ca="1">HYPERLINK("#'"&amp;$G$1&amp;"'!"&amp;ADDRESS(ROW(TB!M764),COLUMN(TB!M764),4),M764)</f>
        <v>17805.68</v>
      </c>
    </row>
    <row r="831" spans="1:13" ht="17">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7">
      <c r="A832" s="1650" t="s">
        <v>2565</v>
      </c>
      <c r="D832" s="932"/>
      <c r="E832" s="944"/>
      <c r="F832" s="945" t="str">
        <f ca="1">IF(F831=0,"√","×")</f>
        <v>√</v>
      </c>
      <c r="G832" s="641"/>
      <c r="H832" s="641"/>
      <c r="I832" s="954" t="str">
        <f ca="1">IF(I831=0,"√","×")</f>
        <v>√</v>
      </c>
      <c r="J832" s="945" t="str">
        <f ca="1">IF(J831=0,"√","×")</f>
        <v>√</v>
      </c>
      <c r="K832" s="641"/>
      <c r="L832" s="641"/>
      <c r="M832" s="955" t="str">
        <f ca="1">IF(M831=0,"√","×")</f>
        <v>√</v>
      </c>
    </row>
    <row r="833" spans="1:13" ht="17">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0</v>
      </c>
      <c r="K833" s="737"/>
      <c r="L833" s="737"/>
      <c r="M833" s="2200">
        <f ca="1">HYPERLINK("#'"&amp;$G$1&amp;"'!"&amp;ADDRESS(ROW(TB!M111),COLUMN(TB!M111),4),M111)</f>
        <v>0</v>
      </c>
    </row>
    <row r="834" spans="1:13" ht="17">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0</v>
      </c>
      <c r="K834" s="737"/>
      <c r="L834" s="737"/>
      <c r="M834" s="2200">
        <f ca="1">HYPERLINK("#'"&amp;$G$1&amp;"'!"&amp;ADDRESS(ROW(TB!M267),COLUMN(TB!M267),4),M267)</f>
        <v>0</v>
      </c>
    </row>
    <row r="835" spans="1:13" ht="17">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7">
      <c r="A836" s="1650" t="s">
        <v>2565</v>
      </c>
      <c r="D836" s="932"/>
      <c r="E836" s="944"/>
      <c r="F836" s="945" t="str">
        <f ca="1">IF(F835=0,"√","×")</f>
        <v>√</v>
      </c>
      <c r="G836" s="641"/>
      <c r="H836" s="641"/>
      <c r="I836" s="954" t="str">
        <f ca="1">IF(I835=0,"√","×")</f>
        <v>√</v>
      </c>
      <c r="J836" s="945" t="str">
        <f ca="1">IF(J835=0,"√","×")</f>
        <v>√</v>
      </c>
      <c r="K836" s="641"/>
      <c r="L836" s="641"/>
      <c r="M836" s="955" t="str">
        <f ca="1">IF(M835=0,"√","×")</f>
        <v>√</v>
      </c>
    </row>
    <row r="837" spans="1:13" ht="17">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6">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7">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7">
      <c r="A840" s="1650" t="s">
        <v>2565</v>
      </c>
      <c r="D840" s="932"/>
      <c r="E840" s="944"/>
      <c r="F840" s="945" t="str">
        <f ca="1">IF(F839=0,"√","×")</f>
        <v>√</v>
      </c>
      <c r="G840" s="641"/>
      <c r="H840" s="641"/>
      <c r="I840" s="954" t="str">
        <f ca="1">IF(I839=0,"√","×")</f>
        <v>√</v>
      </c>
      <c r="J840" s="945" t="str">
        <f ca="1">IF(J839=0,"√","×")</f>
        <v>√</v>
      </c>
      <c r="K840" s="641"/>
      <c r="L840" s="641"/>
      <c r="M840" s="955" t="str">
        <f ca="1">IF(M839=0,"√","×")</f>
        <v>√</v>
      </c>
    </row>
    <row r="841" spans="1:13" ht="17">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6">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7">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7">
      <c r="A844" s="1650" t="s">
        <v>2565</v>
      </c>
      <c r="D844" s="956"/>
      <c r="E844" s="944"/>
      <c r="F844" s="945" t="str">
        <f ca="1">IF(F843=0,"√","×")</f>
        <v>√</v>
      </c>
      <c r="G844" s="641"/>
      <c r="H844" s="641"/>
      <c r="I844" s="954" t="str">
        <f ca="1">IF(I843=0,"√","×")</f>
        <v>√</v>
      </c>
      <c r="J844" s="945" t="str">
        <f ca="1">IF(J843=0,"√","×")</f>
        <v>√</v>
      </c>
      <c r="K844" s="641"/>
      <c r="L844" s="641"/>
      <c r="M844" s="955" t="str">
        <f ca="1">IF(M843=0,"√","×")</f>
        <v>√</v>
      </c>
    </row>
    <row r="845" spans="1:13" ht="17">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7">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7">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7">
      <c r="A848" s="1650" t="s">
        <v>2565</v>
      </c>
      <c r="D848" s="957"/>
      <c r="E848" s="944"/>
      <c r="F848" s="945" t="str">
        <f ca="1">IF(F847=0,"√","×")</f>
        <v>√</v>
      </c>
      <c r="G848" s="641"/>
      <c r="H848" s="641"/>
      <c r="I848" s="954" t="str">
        <f ca="1">IF(I847=0,"√","×")</f>
        <v>√</v>
      </c>
      <c r="J848" s="945" t="str">
        <f ca="1">IF(J847=0,"√","×")</f>
        <v>√</v>
      </c>
      <c r="K848" s="641"/>
      <c r="L848" s="641"/>
      <c r="M848" s="955" t="str">
        <f ca="1">IF(M847=0,"√","×")</f>
        <v>√</v>
      </c>
    </row>
    <row r="849" spans="1:13" ht="17">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7">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7">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7">
      <c r="A852" s="1650" t="s">
        <v>2565</v>
      </c>
      <c r="D852" s="957"/>
      <c r="E852" s="944"/>
      <c r="F852" s="945" t="str">
        <f ca="1">IF(F851=0,"√","×")</f>
        <v>√</v>
      </c>
      <c r="G852" s="641"/>
      <c r="H852" s="641"/>
      <c r="I852" s="954" t="str">
        <f ca="1">IF(I851=0,"√","×")</f>
        <v>√</v>
      </c>
      <c r="J852" s="945" t="str">
        <f ca="1">IF(J851=0,"√","×")</f>
        <v>√</v>
      </c>
      <c r="K852" s="641"/>
      <c r="L852" s="641"/>
      <c r="M852" s="955" t="str">
        <f ca="1">IF(M851=0,"√","×")</f>
        <v>√</v>
      </c>
    </row>
    <row r="853" spans="1:13" ht="17">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7">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7">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7">
      <c r="A856" s="1650" t="s">
        <v>2565</v>
      </c>
      <c r="D856" s="957"/>
      <c r="E856" s="944"/>
      <c r="F856" s="945" t="str">
        <f ca="1">IF(F855=0,"√","×")</f>
        <v>√</v>
      </c>
      <c r="G856" s="641"/>
      <c r="H856" s="641"/>
      <c r="I856" s="954" t="str">
        <f ca="1">IF(I855=0,"√","×")</f>
        <v>√</v>
      </c>
      <c r="J856" s="945" t="str">
        <f ca="1">IF(J855=0,"√","×")</f>
        <v>√</v>
      </c>
      <c r="K856" s="641"/>
      <c r="L856" s="641"/>
      <c r="M856" s="955" t="str">
        <f ca="1">IF(M855=0,"√","×")</f>
        <v>√</v>
      </c>
    </row>
    <row r="857" spans="1:13" ht="17">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7">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7">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7">
      <c r="A860" s="1650" t="s">
        <v>2565</v>
      </c>
      <c r="D860" s="957"/>
      <c r="E860" s="944"/>
      <c r="F860" s="945" t="str">
        <f ca="1">IF(F859=0,"√","×")</f>
        <v>√</v>
      </c>
      <c r="G860" s="641"/>
      <c r="H860" s="641"/>
      <c r="I860" s="954" t="str">
        <f ca="1">IF(I859=0,"√","×")</f>
        <v>√</v>
      </c>
      <c r="J860" s="945" t="str">
        <f ca="1">IF(J859=0,"√","×")</f>
        <v>√</v>
      </c>
      <c r="K860" s="641"/>
      <c r="L860" s="641"/>
      <c r="M860" s="955" t="str">
        <f ca="1">IF(M859=0,"√","×")</f>
        <v>√</v>
      </c>
    </row>
    <row r="861" spans="1:13" ht="17">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0</v>
      </c>
      <c r="K861" s="737"/>
      <c r="L861" s="737"/>
      <c r="M861" s="2200">
        <f ca="1">HYPERLINK("#'"&amp;$G$1&amp;"'!"&amp;ADDRESS(ROW(TB!M119),COLUMN(TB!M119),4),M119)</f>
        <v>0</v>
      </c>
    </row>
    <row r="862" spans="1:13" ht="17">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0</v>
      </c>
      <c r="K862" s="737"/>
      <c r="L862" s="737"/>
      <c r="M862" s="2200">
        <f ca="1">HYPERLINK("#'"&amp;$G$1&amp;"'!"&amp;ADDRESS(ROW(TB!M523),COLUMN(TB!M523),4),M523)</f>
        <v>0</v>
      </c>
    </row>
    <row r="863" spans="1:13" ht="17">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7">
      <c r="A864" s="1650" t="s">
        <v>2565</v>
      </c>
      <c r="D864" s="957"/>
      <c r="E864" s="944"/>
      <c r="F864" s="945" t="str">
        <f ca="1">IF(F863=0,"√","×")</f>
        <v>√</v>
      </c>
      <c r="G864" s="641"/>
      <c r="H864" s="641"/>
      <c r="I864" s="954" t="str">
        <f ca="1">IF(I863=0,"√","×")</f>
        <v>√</v>
      </c>
      <c r="J864" s="945" t="str">
        <f ca="1">IF(J863=0,"√","×")</f>
        <v>√</v>
      </c>
      <c r="K864" s="641"/>
      <c r="L864" s="641"/>
      <c r="M864" s="955" t="str">
        <f ca="1">IF(M863=0,"√","×")</f>
        <v>√</v>
      </c>
    </row>
    <row r="865" spans="1:13" ht="17">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7">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7">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7">
      <c r="A868" s="1650" t="s">
        <v>2565</v>
      </c>
      <c r="D868" s="957"/>
      <c r="E868" s="944"/>
      <c r="F868" s="945" t="str">
        <f ca="1">IF(F867=0,"√","×")</f>
        <v>√</v>
      </c>
      <c r="G868" s="641"/>
      <c r="H868" s="641"/>
      <c r="I868" s="954" t="str">
        <f ca="1">IF(I867=0,"√","×")</f>
        <v>√</v>
      </c>
      <c r="J868" s="945" t="str">
        <f ca="1">IF(J867=0,"√","×")</f>
        <v>√</v>
      </c>
      <c r="K868" s="641"/>
      <c r="L868" s="641"/>
      <c r="M868" s="955" t="str">
        <f ca="1">IF(M867=0,"√","×")</f>
        <v>√</v>
      </c>
    </row>
    <row r="869" spans="1:13" ht="17">
      <c r="A869" s="1650" t="s">
        <v>2565</v>
      </c>
      <c r="D869" s="932" t="s">
        <v>428</v>
      </c>
      <c r="E869" s="940" t="str">
        <f>E121</f>
        <v>未分配利润</v>
      </c>
      <c r="F869" s="2204">
        <f ca="1">HYPERLINK("#'"&amp;$G$1&amp;"'!"&amp;ADDRESS(ROW(TB!F121),COLUMN(TB!F121),4),F121)</f>
        <v>-4039.23</v>
      </c>
      <c r="G869" s="737"/>
      <c r="H869" s="737"/>
      <c r="I869" s="2199">
        <f ca="1">HYPERLINK("#'"&amp;$G$1&amp;"'!"&amp;ADDRESS(ROW(TB!I121),COLUMN(TB!I121),4),I121)</f>
        <v>-4039.23</v>
      </c>
      <c r="J869" s="2204">
        <f ca="1">HYPERLINK("#'"&amp;$G$1&amp;"'!"&amp;ADDRESS(ROW(TB!J121),COLUMN(TB!J121),4),J121)</f>
        <v>-1714.32</v>
      </c>
      <c r="K869" s="737"/>
      <c r="L869" s="737"/>
      <c r="M869" s="2200">
        <f ca="1">HYPERLINK("#'"&amp;$G$1&amp;"'!"&amp;ADDRESS(ROW(TB!M121),COLUMN(TB!M121),4),M121)</f>
        <v>-1714.32</v>
      </c>
    </row>
    <row r="870" spans="1:13" ht="17">
      <c r="A870" s="1650" t="s">
        <v>2565</v>
      </c>
      <c r="D870" s="932" t="s">
        <v>442</v>
      </c>
      <c r="E870" s="941" t="str">
        <f>E589</f>
        <v>未分配利润_本期期末余额</v>
      </c>
      <c r="F870" s="2204">
        <f ca="1">HYPERLINK("#'"&amp;$G$1&amp;"'!"&amp;ADDRESS(ROW(TB!F589),COLUMN(TB!F589),4),F589)</f>
        <v>-4039.23</v>
      </c>
      <c r="G870" s="737"/>
      <c r="H870" s="737"/>
      <c r="I870" s="2202">
        <f ca="1">HYPERLINK("#'"&amp;$G$1&amp;"'!"&amp;ADDRESS(ROW(TB!I589),COLUMN(TB!I589),4),I589)</f>
        <v>-4039.23</v>
      </c>
      <c r="J870" s="2204">
        <f ca="1">HYPERLINK("#'"&amp;$G$1&amp;"'!"&amp;ADDRESS(ROW(TB!J589),COLUMN(TB!J589),4),J589)</f>
        <v>-1714.32</v>
      </c>
      <c r="K870" s="737"/>
      <c r="L870" s="737"/>
      <c r="M870" s="2200">
        <f ca="1">HYPERLINK("#'"&amp;$G$1&amp;"'!"&amp;ADDRESS(ROW(TB!M589),COLUMN(TB!M589),4),M589)</f>
        <v>-1714.32</v>
      </c>
    </row>
    <row r="871" spans="1:13" ht="17">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7">
      <c r="A872" s="1650" t="s">
        <v>2565</v>
      </c>
      <c r="D872" s="957"/>
      <c r="E872" s="944"/>
      <c r="F872" s="945" t="str">
        <f ca="1">IF(F871=0,"√","×")</f>
        <v>√</v>
      </c>
      <c r="G872" s="641"/>
      <c r="H872" s="641"/>
      <c r="I872" s="954" t="str">
        <f ca="1">IF(I871=0,"√","×")</f>
        <v>√</v>
      </c>
      <c r="J872" s="945" t="str">
        <f ca="1">IF(J871=0,"√","×")</f>
        <v>√</v>
      </c>
      <c r="K872" s="641"/>
      <c r="L872" s="641"/>
      <c r="M872" s="955" t="str">
        <f ca="1">IF(M871=0,"√","×")</f>
        <v>√</v>
      </c>
    </row>
    <row r="873" spans="1:13" ht="17">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7">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7">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7">
      <c r="A876" s="1650" t="s">
        <v>2565</v>
      </c>
      <c r="D876" s="957"/>
      <c r="E876" s="944"/>
      <c r="F876" s="945" t="str">
        <f ca="1">IF(F875=0,"√","×")</f>
        <v>√</v>
      </c>
      <c r="G876" s="641"/>
      <c r="H876" s="641"/>
      <c r="I876" s="954" t="str">
        <f ca="1">IF(I875=0,"√","×")</f>
        <v>√</v>
      </c>
      <c r="J876" s="945" t="str">
        <f ca="1">IF(J875=0,"√","×")</f>
        <v>√</v>
      </c>
      <c r="K876" s="641"/>
      <c r="L876" s="641"/>
      <c r="M876" s="955" t="str">
        <f ca="1">IF(M875=0,"√","×")</f>
        <v>√</v>
      </c>
    </row>
    <row r="877" spans="1:13" ht="17">
      <c r="A877" s="1650" t="s">
        <v>2565</v>
      </c>
      <c r="D877" s="957"/>
      <c r="E877" s="958" t="s">
        <v>2572</v>
      </c>
      <c r="F877" s="959">
        <f ca="1">SUMIF($E$786:$E$876,"差       异",F786:F876)</f>
        <v>0</v>
      </c>
      <c r="G877" s="960"/>
      <c r="H877" s="960"/>
      <c r="I877" s="961">
        <f ca="1">SUMIF($E$786:$E$876,"差       异",I786:I876)</f>
        <v>0</v>
      </c>
      <c r="J877" s="959">
        <f ca="1">SUMIF($E$786:$E$876,"差       异",J786:J876)</f>
        <v>0</v>
      </c>
      <c r="K877" s="960"/>
      <c r="L877" s="960"/>
      <c r="M877" s="962">
        <f ca="1">SUMIF($E$786:$E$876,"差       异",M786:M876)</f>
        <v>0</v>
      </c>
    </row>
  </sheetData>
  <sheetProtection algorithmName="SHA-512" hashValue="RaAqe/7Lc01APQ3mGHrDgTryqAabYaCOJjJcGDCKHqPEnYNcRPRm6JaAM0prCU4uj4Yeg8C6akWwEeyKMkCLFg==" saltValue="J3mSdqtZul4Bm7oNdeekyw==" spinCount="100000" sheet="1" scenarios="1" formatCells="0" autoFilter="0"/>
  <phoneticPr fontId="163" type="noConversion"/>
  <conditionalFormatting sqref="E9:E10">
    <cfRule type="expression" dxfId="3910" priority="93" stopIfTrue="1">
      <formula>$A9="："</formula>
    </cfRule>
    <cfRule type="expression" dxfId="3909"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08"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07" priority="3" stopIfTrue="1" operator="notEqual">
      <formula>0</formula>
    </cfRule>
  </conditionalFormatting>
  <conditionalFormatting sqref="F798 M798 I798:J798">
    <cfRule type="cellIs" dxfId="3906" priority="2" stopIfTrue="1" operator="notEqual">
      <formula>0</formula>
    </cfRule>
  </conditionalFormatting>
  <conditionalFormatting sqref="F798 M798 I798:J798">
    <cfRule type="cellIs" dxfId="3905"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K16" sqref="K16"/>
    </sheetView>
  </sheetViews>
  <sheetFormatPr defaultColWidth="9.09765625" defaultRowHeight="13"/>
  <cols>
    <col min="1" max="1" width="9.765625E-2" style="2754" customWidth="1"/>
    <col min="2" max="2" width="7.69921875" style="637" customWidth="1"/>
    <col min="3" max="7" width="9.765625E-2" style="2754" customWidth="1"/>
    <col min="8" max="8" width="4.59765625" style="1" customWidth="1"/>
    <col min="9" max="9" width="6.296875" style="1" customWidth="1"/>
    <col min="10" max="10" width="5.8984375" style="1" customWidth="1"/>
    <col min="11" max="11" width="28.69921875" style="1" customWidth="1"/>
    <col min="12" max="12" width="17.69921875" style="1" customWidth="1"/>
    <col min="13" max="13" width="9.69921875" style="1" customWidth="1"/>
    <col min="14" max="14" width="8.69921875" style="1" customWidth="1"/>
    <col min="15" max="16" width="14.69921875" style="1" customWidth="1"/>
    <col min="17" max="17" width="7.59765625" style="1" customWidth="1"/>
    <col min="18" max="18" width="7.3984375" style="1" customWidth="1"/>
    <col min="19" max="19" width="8.09765625" style="641" customWidth="1"/>
    <col min="20" max="20" width="9.69921875" style="1" customWidth="1"/>
    <col min="21" max="21" width="6.09765625" style="1" customWidth="1"/>
    <col min="22" max="22" width="9.69921875" style="1" customWidth="1"/>
    <col min="23" max="23" width="12.69921875" style="1" customWidth="1"/>
    <col min="24" max="26" width="9.69921875" style="1" customWidth="1"/>
    <col min="27" max="30" width="9.765625E-2" style="2754" customWidth="1"/>
    <col min="31" max="31" width="25" style="1" customWidth="1"/>
    <col min="32" max="16384" width="9.09765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余江县天骏投资管理有限公司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43864</v>
      </c>
      <c r="P5" s="675" t="s">
        <v>6591</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6601</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7">
      <c r="A9" s="2752"/>
      <c r="B9" s="2779" t="str">
        <f t="shared" ref="B9:B38" si="0">IF($K9="","","J"&amp;$C9)</f>
        <v/>
      </c>
      <c r="C9" s="2749" t="str">
        <f t="shared" ref="C9:C38" si="1">IF($K9="","",VLOOKUP($K9,Sheet_Items2,7,0))</f>
        <v/>
      </c>
      <c r="D9" s="2749" t="str">
        <f t="shared" ref="D9:D38" si="2">IF($O9&amp;$P9&lt;&gt;"",cellAbove,INDEX($J:$J,ROW()))&amp;""</f>
        <v/>
      </c>
      <c r="E9" s="2749" t="str">
        <f t="shared" ref="E9:E38" si="3">IF($O9&amp;$P9&lt;&gt;"",cellAbove,INDEX($I:$I,ROW()))&amp;""</f>
        <v>0</v>
      </c>
      <c r="F9" s="2749">
        <f t="shared" ref="F9:F38" si="4">VALUE(IF(E9="",E8&amp;"."&amp;TEXT((ROW()-8),"000"),E9&amp;"."&amp;TEXT((ROW()-8),"000")))</f>
        <v>1E-3</v>
      </c>
      <c r="G9" s="2759"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7">
      <c r="A10" s="2752"/>
      <c r="B10" s="2779" t="str">
        <f t="shared" si="0"/>
        <v/>
      </c>
      <c r="C10" s="2749" t="str">
        <f t="shared" si="1"/>
        <v/>
      </c>
      <c r="D10" s="2749" t="str">
        <f t="shared" si="2"/>
        <v/>
      </c>
      <c r="E10" s="2749" t="str">
        <f t="shared" si="3"/>
        <v/>
      </c>
      <c r="F10" s="2749">
        <f t="shared" si="4"/>
        <v>2E-3</v>
      </c>
      <c r="G10" s="2759" t="str">
        <f t="shared" si="5"/>
        <v/>
      </c>
      <c r="H10" s="650"/>
      <c r="I10" s="691"/>
      <c r="J10" s="692" t="str">
        <f t="shared" ref="J10:J38" si="11">IF($O10&lt;&gt;"","借",IF($P10&lt;&gt;"","贷",""))</f>
        <v/>
      </c>
      <c r="K10" s="689"/>
      <c r="L10" s="693"/>
      <c r="M10" s="693"/>
      <c r="N10" s="693"/>
      <c r="O10" s="193"/>
      <c r="P10" s="215"/>
      <c r="Q10" s="735" t="str">
        <f t="shared" si="6"/>
        <v/>
      </c>
      <c r="R10" s="732" t="str">
        <f t="shared" si="7"/>
        <v/>
      </c>
      <c r="S10" s="732"/>
      <c r="T10" s="732"/>
      <c r="U10" s="732"/>
      <c r="V10" s="732"/>
      <c r="W10" s="734"/>
      <c r="X10" s="732"/>
      <c r="Y10" s="732"/>
      <c r="Z10" s="732"/>
      <c r="AA10" s="2772"/>
      <c r="AB10" s="2772"/>
      <c r="AC10" s="2773">
        <f t="shared" si="8"/>
        <v>0</v>
      </c>
      <c r="AD10" s="2773">
        <f t="shared" si="9"/>
        <v>0</v>
      </c>
      <c r="AE10" s="847" t="str">
        <f t="shared" si="10"/>
        <v/>
      </c>
      <c r="AF10" s="641"/>
    </row>
    <row r="11" spans="1:32" ht="17">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t="str">
        <f t="shared" si="11"/>
        <v/>
      </c>
      <c r="K11" s="689"/>
      <c r="L11" s="693"/>
      <c r="M11" s="693"/>
      <c r="N11" s="693"/>
      <c r="O11" s="193"/>
      <c r="P11" s="215"/>
      <c r="Q11" s="735" t="str">
        <f t="shared" si="6"/>
        <v/>
      </c>
      <c r="R11" s="732" t="str">
        <f t="shared" si="7"/>
        <v/>
      </c>
      <c r="S11" s="732"/>
      <c r="T11" s="732"/>
      <c r="U11" s="732"/>
      <c r="V11" s="732"/>
      <c r="W11" s="734"/>
      <c r="X11" s="732"/>
      <c r="Y11" s="732"/>
      <c r="Z11" s="732"/>
      <c r="AA11" s="2772"/>
      <c r="AB11" s="2772"/>
      <c r="AC11" s="2773">
        <f t="shared" si="8"/>
        <v>0</v>
      </c>
      <c r="AD11" s="2773">
        <f t="shared" si="9"/>
        <v>0</v>
      </c>
      <c r="AE11" s="847" t="str">
        <f t="shared" si="10"/>
        <v/>
      </c>
      <c r="AF11" s="641"/>
    </row>
    <row r="12" spans="1:32" ht="17">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t="str">
        <f t="shared" si="11"/>
        <v/>
      </c>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7">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7">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t="str">
        <f t="shared" si="11"/>
        <v/>
      </c>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7">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t="str">
        <f t="shared" si="11"/>
        <v/>
      </c>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7">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7">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7">
      <c r="A18" s="2752"/>
      <c r="B18" s="2779" t="str">
        <f t="shared" si="0"/>
        <v/>
      </c>
      <c r="C18" s="2749" t="str">
        <f t="shared" si="1"/>
        <v/>
      </c>
      <c r="D18" s="2749" t="str">
        <f t="shared" si="2"/>
        <v/>
      </c>
      <c r="E18" s="2749" t="str">
        <f t="shared" si="3"/>
        <v/>
      </c>
      <c r="F18" s="2749">
        <f t="shared" si="4"/>
        <v>0.01</v>
      </c>
      <c r="G18" s="2759"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7">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t="str">
        <f t="shared" si="11"/>
        <v/>
      </c>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7">
      <c r="A20" s="2752"/>
      <c r="B20" s="2779" t="str">
        <f t="shared" si="0"/>
        <v/>
      </c>
      <c r="C20" s="2749" t="str">
        <f t="shared" si="1"/>
        <v/>
      </c>
      <c r="D20" s="2749" t="str">
        <f t="shared" si="2"/>
        <v/>
      </c>
      <c r="E20" s="2749" t="str">
        <f t="shared" si="3"/>
        <v/>
      </c>
      <c r="F20" s="2749">
        <f t="shared" si="4"/>
        <v>1.2E-2</v>
      </c>
      <c r="G20" s="2759"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7">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7">
      <c r="A22" s="2752"/>
      <c r="B22" s="2779" t="str">
        <f t="shared" si="0"/>
        <v/>
      </c>
      <c r="C22" s="2749" t="str">
        <f t="shared" si="1"/>
        <v/>
      </c>
      <c r="D22" s="2749" t="str">
        <f t="shared" si="2"/>
        <v/>
      </c>
      <c r="E22" s="2749" t="str">
        <f t="shared" si="3"/>
        <v/>
      </c>
      <c r="F22" s="2749">
        <f t="shared" si="4"/>
        <v>1.4E-2</v>
      </c>
      <c r="G22" s="2759"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7">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7">
      <c r="A24" s="2752"/>
      <c r="B24" s="2779" t="str">
        <f t="shared" si="0"/>
        <v/>
      </c>
      <c r="C24" s="2749" t="str">
        <f t="shared" si="1"/>
        <v/>
      </c>
      <c r="D24" s="2749" t="str">
        <f t="shared" si="2"/>
        <v/>
      </c>
      <c r="E24" s="2749" t="str">
        <f t="shared" si="3"/>
        <v/>
      </c>
      <c r="F24" s="2749">
        <f t="shared" si="4"/>
        <v>1.6E-2</v>
      </c>
      <c r="G24" s="2759"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7">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7">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7">
      <c r="A27" s="2752"/>
      <c r="B27" s="2779" t="str">
        <f t="shared" si="0"/>
        <v/>
      </c>
      <c r="C27" s="2749" t="str">
        <f t="shared" si="1"/>
        <v/>
      </c>
      <c r="D27" s="2749" t="str">
        <f t="shared" si="2"/>
        <v/>
      </c>
      <c r="E27" s="2749" t="str">
        <f t="shared" si="3"/>
        <v/>
      </c>
      <c r="F27" s="2749">
        <f t="shared" si="4"/>
        <v>1.9E-2</v>
      </c>
      <c r="G27" s="2759"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7">
      <c r="A28" s="2752"/>
      <c r="B28" s="2779" t="str">
        <f t="shared" si="0"/>
        <v/>
      </c>
      <c r="C28" s="2749" t="str">
        <f t="shared" si="1"/>
        <v/>
      </c>
      <c r="D28" s="2749" t="str">
        <f t="shared" si="2"/>
        <v/>
      </c>
      <c r="E28" s="2749" t="str">
        <f t="shared" si="3"/>
        <v/>
      </c>
      <c r="F28" s="2749">
        <f t="shared" si="4"/>
        <v>0.02</v>
      </c>
      <c r="G28" s="2759"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7">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7">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7">
      <c r="A31" s="2752"/>
      <c r="B31" s="2779" t="str">
        <f t="shared" si="0"/>
        <v/>
      </c>
      <c r="C31" s="2749" t="str">
        <f t="shared" si="1"/>
        <v/>
      </c>
      <c r="D31" s="2749" t="str">
        <f t="shared" si="2"/>
        <v/>
      </c>
      <c r="E31" s="2749" t="str">
        <f t="shared" si="3"/>
        <v/>
      </c>
      <c r="F31" s="2749">
        <f t="shared" si="4"/>
        <v>2.3E-2</v>
      </c>
      <c r="G31" s="2759"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7">
      <c r="A32" s="2752"/>
      <c r="B32" s="2779" t="str">
        <f t="shared" si="0"/>
        <v/>
      </c>
      <c r="C32" s="2749" t="str">
        <f t="shared" si="1"/>
        <v/>
      </c>
      <c r="D32" s="2749" t="str">
        <f t="shared" si="2"/>
        <v/>
      </c>
      <c r="E32" s="2749" t="str">
        <f t="shared" si="3"/>
        <v/>
      </c>
      <c r="F32" s="2749">
        <f t="shared" si="4"/>
        <v>2.4E-2</v>
      </c>
      <c r="G32" s="2759"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7">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7">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7">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7">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7">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7">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7"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0</v>
      </c>
      <c r="P40" s="846">
        <f>SUBTOTAL(109,(INDEX(P:P,ROW(P$8)+1):cellAbove))</f>
        <v>0</v>
      </c>
      <c r="Q40" s="842"/>
      <c r="R40" s="740"/>
      <c r="S40" s="732"/>
      <c r="T40" s="740"/>
      <c r="U40" s="740"/>
      <c r="V40" s="740"/>
      <c r="W40" s="741"/>
      <c r="X40" s="740"/>
      <c r="Y40" s="742"/>
      <c r="Z40" s="742"/>
      <c r="AA40" s="2775"/>
      <c r="AB40" s="2775"/>
      <c r="AC40" s="2776"/>
      <c r="AD40" s="2776"/>
      <c r="AE40" s="840" t="str">
        <f>IF(AND(O40=0,P40=0),"",IF(ROUND(O40-P40,2)=0,"借贷平衡!","借贷相差："&amp;(TEXT(O40-P40,"#,0.00"))))</f>
        <v/>
      </c>
      <c r="AF40" s="747"/>
      <c r="AG40" s="748"/>
      <c r="AH40" s="748"/>
    </row>
    <row r="41" spans="1:34">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c r="R52" s="740"/>
      <c r="S52" s="732"/>
      <c r="T52" s="740"/>
      <c r="U52" s="740"/>
      <c r="V52" s="740"/>
      <c r="W52" s="740"/>
      <c r="X52" s="740"/>
    </row>
    <row r="53" spans="1:24">
      <c r="R53" s="740"/>
      <c r="S53" s="732"/>
      <c r="T53" s="740"/>
      <c r="U53" s="740"/>
      <c r="V53" s="740"/>
      <c r="W53" s="740"/>
      <c r="X53" s="740"/>
    </row>
    <row r="54" spans="1:24">
      <c r="R54" s="740"/>
      <c r="S54" s="732"/>
      <c r="T54" s="740"/>
      <c r="U54" s="740"/>
      <c r="V54" s="740"/>
      <c r="W54" s="740"/>
      <c r="X54" s="740"/>
    </row>
    <row r="55" spans="1:24">
      <c r="R55" s="740"/>
      <c r="S55" s="732"/>
      <c r="T55" s="740"/>
      <c r="U55" s="740"/>
      <c r="V55" s="740"/>
      <c r="W55" s="740"/>
      <c r="X55" s="740"/>
    </row>
    <row r="56" spans="1:24">
      <c r="R56" s="740"/>
      <c r="S56" s="732"/>
      <c r="T56" s="740"/>
      <c r="U56" s="740"/>
      <c r="V56" s="740"/>
      <c r="W56" s="740"/>
      <c r="X56" s="740"/>
    </row>
    <row r="57" spans="1:24">
      <c r="R57" s="740"/>
      <c r="S57" s="732"/>
      <c r="T57" s="740"/>
      <c r="U57" s="740"/>
      <c r="V57" s="740"/>
      <c r="W57" s="740"/>
      <c r="X57" s="740"/>
    </row>
    <row r="58" spans="1:24">
      <c r="R58" s="740"/>
      <c r="S58" s="732"/>
      <c r="T58" s="740"/>
      <c r="U58" s="740"/>
      <c r="V58" s="740"/>
      <c r="W58" s="740"/>
      <c r="X58" s="740"/>
    </row>
    <row r="59" spans="1:24">
      <c r="R59" s="740"/>
      <c r="S59" s="732"/>
      <c r="T59" s="740"/>
      <c r="U59" s="740"/>
      <c r="V59" s="740"/>
      <c r="W59" s="740"/>
      <c r="X59" s="740"/>
    </row>
    <row r="60" spans="1:24">
      <c r="R60" s="740"/>
      <c r="S60" s="732"/>
      <c r="T60" s="740"/>
      <c r="U60" s="740"/>
      <c r="V60" s="740"/>
      <c r="W60" s="740"/>
      <c r="X60" s="740"/>
    </row>
    <row r="61" spans="1:24">
      <c r="R61" s="740"/>
      <c r="S61" s="732"/>
      <c r="T61" s="740"/>
      <c r="U61" s="740"/>
      <c r="V61" s="740"/>
      <c r="W61" s="740"/>
      <c r="X61" s="740"/>
    </row>
    <row r="62" spans="1:24">
      <c r="R62" s="740"/>
      <c r="S62" s="732"/>
      <c r="T62" s="740"/>
      <c r="U62" s="740"/>
      <c r="V62" s="740"/>
      <c r="W62" s="740"/>
      <c r="X62" s="740"/>
    </row>
    <row r="63" spans="1:24">
      <c r="R63" s="740"/>
      <c r="S63" s="732"/>
      <c r="T63" s="740"/>
      <c r="U63" s="740"/>
      <c r="V63" s="740"/>
      <c r="W63" s="740"/>
      <c r="X63" s="740"/>
    </row>
    <row r="64" spans="1:24">
      <c r="R64" s="740"/>
      <c r="S64" s="732"/>
      <c r="T64" s="740"/>
      <c r="U64" s="740"/>
      <c r="V64" s="740"/>
      <c r="W64" s="740"/>
      <c r="X64" s="740"/>
    </row>
    <row r="65" spans="18:24">
      <c r="R65" s="740"/>
      <c r="S65" s="732"/>
      <c r="T65" s="740"/>
      <c r="U65" s="740"/>
      <c r="V65" s="740"/>
      <c r="W65" s="740"/>
      <c r="X65" s="740"/>
    </row>
    <row r="66" spans="18:24">
      <c r="R66" s="740"/>
      <c r="S66" s="732"/>
      <c r="T66" s="740"/>
      <c r="U66" s="740"/>
      <c r="V66" s="740"/>
      <c r="W66" s="740"/>
      <c r="X66" s="740"/>
    </row>
    <row r="67" spans="18:24">
      <c r="R67" s="740"/>
      <c r="S67" s="732"/>
      <c r="T67" s="740"/>
      <c r="U67" s="740"/>
      <c r="V67" s="740"/>
      <c r="W67" s="740"/>
      <c r="X67" s="740"/>
    </row>
    <row r="68" spans="18:24">
      <c r="R68" s="740"/>
      <c r="S68" s="732"/>
      <c r="T68" s="740"/>
      <c r="U68" s="740"/>
      <c r="V68" s="740"/>
      <c r="W68" s="740"/>
      <c r="X68" s="740"/>
    </row>
    <row r="69" spans="18:24">
      <c r="R69" s="740"/>
      <c r="S69" s="732"/>
      <c r="T69" s="740"/>
      <c r="U69" s="740"/>
      <c r="V69" s="740"/>
      <c r="W69" s="740"/>
      <c r="X69" s="740"/>
    </row>
    <row r="70" spans="18:24">
      <c r="R70" s="740"/>
      <c r="S70" s="732"/>
      <c r="T70" s="740"/>
      <c r="U70" s="740"/>
      <c r="V70" s="740"/>
      <c r="W70" s="740"/>
      <c r="X70" s="740"/>
    </row>
    <row r="71" spans="18:24">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c r="R74" s="740"/>
      <c r="S74" s="732"/>
      <c r="T74" s="740"/>
      <c r="U74" s="740"/>
      <c r="V74" s="740"/>
      <c r="W74" s="740"/>
      <c r="X74" s="740"/>
    </row>
    <row r="75" spans="18:24">
      <c r="R75" s="740"/>
      <c r="S75" s="732"/>
      <c r="T75" s="740"/>
      <c r="U75" s="740"/>
      <c r="V75" s="740"/>
      <c r="W75" s="740"/>
      <c r="X75" s="740"/>
    </row>
    <row r="76" spans="18:24">
      <c r="R76" s="740"/>
      <c r="S76" s="732"/>
      <c r="T76" s="740"/>
      <c r="U76" s="740"/>
      <c r="V76" s="740"/>
      <c r="W76" s="740"/>
      <c r="X76" s="740"/>
    </row>
    <row r="77" spans="18:24">
      <c r="R77" s="740"/>
      <c r="S77" s="732"/>
      <c r="T77" s="740"/>
      <c r="U77" s="740"/>
      <c r="V77" s="740"/>
      <c r="W77" s="740"/>
      <c r="X77" s="740"/>
    </row>
    <row r="78" spans="18:24">
      <c r="R78" s="740"/>
      <c r="S78" s="732"/>
      <c r="T78" s="740"/>
      <c r="U78" s="740"/>
      <c r="V78" s="740"/>
      <c r="W78" s="740"/>
      <c r="X78" s="740"/>
    </row>
    <row r="79" spans="18:24">
      <c r="R79" s="740"/>
      <c r="S79" s="732"/>
      <c r="T79" s="740"/>
      <c r="U79" s="740"/>
      <c r="V79" s="740"/>
      <c r="W79" s="740"/>
      <c r="X79" s="740"/>
    </row>
    <row r="80" spans="18:24">
      <c r="R80" s="740"/>
      <c r="S80" s="732"/>
      <c r="T80" s="740"/>
      <c r="U80" s="740"/>
      <c r="V80" s="740"/>
      <c r="W80" s="740"/>
      <c r="X80" s="740"/>
    </row>
    <row r="81" spans="18:24">
      <c r="R81" s="740"/>
      <c r="S81" s="732"/>
      <c r="T81" s="740"/>
      <c r="U81" s="740"/>
      <c r="V81" s="740"/>
      <c r="W81" s="740"/>
      <c r="X81" s="740"/>
    </row>
    <row r="82" spans="18:24">
      <c r="R82" s="740"/>
      <c r="S82" s="732"/>
      <c r="T82" s="740"/>
      <c r="U82" s="740"/>
      <c r="V82" s="740"/>
      <c r="W82" s="740"/>
      <c r="X82" s="740"/>
    </row>
    <row r="83" spans="18:24">
      <c r="R83" s="740"/>
      <c r="S83" s="732"/>
      <c r="T83" s="740"/>
      <c r="U83" s="740"/>
      <c r="V83" s="740"/>
      <c r="W83" s="740"/>
      <c r="X83" s="740"/>
    </row>
    <row r="84" spans="18:24">
      <c r="R84" s="740"/>
      <c r="S84" s="732"/>
      <c r="T84" s="740"/>
      <c r="U84" s="740"/>
      <c r="V84" s="740"/>
      <c r="W84" s="740"/>
      <c r="X84" s="740"/>
    </row>
    <row r="85" spans="18:24">
      <c r="R85" s="740"/>
      <c r="S85" s="732"/>
      <c r="T85" s="740"/>
      <c r="U85" s="740"/>
      <c r="V85" s="740"/>
      <c r="W85" s="740"/>
      <c r="X85" s="740"/>
    </row>
    <row r="86" spans="18:24">
      <c r="R86" s="740"/>
      <c r="S86" s="732"/>
      <c r="T86" s="740"/>
      <c r="U86" s="740"/>
      <c r="V86" s="740"/>
      <c r="W86" s="740"/>
      <c r="X86" s="740"/>
    </row>
    <row r="87" spans="18:24">
      <c r="R87" s="740"/>
      <c r="S87" s="732"/>
      <c r="T87" s="740"/>
      <c r="U87" s="740"/>
      <c r="V87" s="740"/>
      <c r="W87" s="740"/>
      <c r="X87" s="740"/>
    </row>
    <row r="88" spans="18:24">
      <c r="R88" s="740"/>
      <c r="S88" s="732"/>
      <c r="T88" s="740"/>
      <c r="U88" s="740"/>
      <c r="V88" s="740"/>
      <c r="W88" s="740"/>
      <c r="X88" s="740"/>
    </row>
    <row r="89" spans="18:24">
      <c r="R89" s="740"/>
      <c r="S89" s="732"/>
      <c r="T89" s="740"/>
      <c r="U89" s="740"/>
      <c r="V89" s="740"/>
      <c r="W89" s="740"/>
      <c r="X89" s="740"/>
    </row>
    <row r="90" spans="18:24">
      <c r="R90" s="740"/>
      <c r="S90" s="732"/>
      <c r="T90" s="740"/>
      <c r="U90" s="740"/>
      <c r="V90" s="740"/>
      <c r="W90" s="740"/>
      <c r="X90" s="740"/>
    </row>
    <row r="91" spans="18:24">
      <c r="R91" s="740"/>
      <c r="S91" s="732"/>
      <c r="T91" s="740"/>
      <c r="U91" s="740"/>
      <c r="V91" s="740"/>
      <c r="W91" s="740"/>
      <c r="X91" s="740"/>
    </row>
    <row r="92" spans="18:24">
      <c r="R92" s="740"/>
      <c r="S92" s="732"/>
      <c r="T92" s="740"/>
      <c r="U92" s="740"/>
      <c r="V92" s="740"/>
      <c r="W92" s="740"/>
      <c r="X92" s="740"/>
    </row>
    <row r="93" spans="18:24">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c r="R96" s="740"/>
      <c r="S96" s="732"/>
      <c r="T96" s="740"/>
      <c r="U96" s="740"/>
      <c r="V96" s="740"/>
      <c r="W96" s="740"/>
      <c r="X96" s="740"/>
    </row>
    <row r="97" spans="18:24">
      <c r="R97" s="740"/>
      <c r="S97" s="732"/>
      <c r="T97" s="740"/>
      <c r="U97" s="740"/>
      <c r="V97" s="740"/>
      <c r="W97" s="740"/>
      <c r="X97" s="740"/>
    </row>
    <row r="98" spans="18:24">
      <c r="R98" s="740"/>
      <c r="S98" s="732"/>
      <c r="T98" s="740"/>
      <c r="U98" s="740"/>
      <c r="V98" s="740"/>
      <c r="W98" s="740"/>
      <c r="X98" s="740"/>
    </row>
    <row r="99" spans="18:24">
      <c r="R99" s="740"/>
      <c r="S99" s="732"/>
      <c r="T99" s="740"/>
      <c r="U99" s="740"/>
      <c r="V99" s="740"/>
      <c r="W99" s="740"/>
      <c r="X99" s="740"/>
    </row>
    <row r="100" spans="18:24">
      <c r="R100" s="740"/>
      <c r="S100" s="732"/>
      <c r="T100" s="740"/>
      <c r="U100" s="740"/>
      <c r="V100" s="740"/>
      <c r="W100" s="740"/>
      <c r="X100" s="740"/>
    </row>
    <row r="101" spans="18:24">
      <c r="R101" s="740"/>
      <c r="S101" s="732"/>
      <c r="T101" s="740"/>
      <c r="U101" s="740"/>
      <c r="V101" s="740"/>
      <c r="W101" s="740"/>
      <c r="X101" s="740"/>
    </row>
    <row r="102" spans="18:24">
      <c r="R102" s="740"/>
      <c r="S102" s="732"/>
      <c r="T102" s="740"/>
      <c r="U102" s="740"/>
      <c r="V102" s="740"/>
      <c r="W102" s="740"/>
      <c r="X102" s="740"/>
    </row>
    <row r="103" spans="18:24">
      <c r="R103" s="740"/>
      <c r="S103" s="732"/>
      <c r="T103" s="740"/>
      <c r="U103" s="740"/>
      <c r="V103" s="740"/>
      <c r="W103" s="740"/>
      <c r="X103" s="740"/>
    </row>
    <row r="104" spans="18:24">
      <c r="R104" s="740"/>
      <c r="S104" s="732"/>
      <c r="T104" s="740"/>
      <c r="U104" s="740"/>
      <c r="V104" s="740"/>
      <c r="W104" s="740"/>
      <c r="X104" s="740"/>
    </row>
    <row r="105" spans="18:24">
      <c r="R105" s="740"/>
      <c r="S105" s="732"/>
      <c r="T105" s="740"/>
      <c r="U105" s="740"/>
      <c r="V105" s="740"/>
      <c r="W105" s="740"/>
      <c r="X105" s="740"/>
    </row>
    <row r="106" spans="18:24">
      <c r="R106" s="740"/>
      <c r="S106" s="732"/>
      <c r="T106" s="740"/>
      <c r="U106" s="740"/>
      <c r="V106" s="740"/>
      <c r="W106" s="740"/>
      <c r="X106" s="740"/>
    </row>
    <row r="107" spans="18:24">
      <c r="R107" s="740"/>
      <c r="S107" s="732"/>
      <c r="T107" s="740"/>
      <c r="U107" s="740"/>
      <c r="V107" s="740"/>
      <c r="W107" s="740"/>
      <c r="X107" s="740"/>
    </row>
    <row r="108" spans="18:24">
      <c r="R108" s="740"/>
      <c r="S108" s="732"/>
      <c r="T108" s="740"/>
      <c r="U108" s="740"/>
      <c r="V108" s="740"/>
      <c r="W108" s="740"/>
      <c r="X108" s="740"/>
    </row>
    <row r="109" spans="18:24">
      <c r="R109" s="740"/>
      <c r="S109" s="732"/>
      <c r="T109" s="740"/>
      <c r="U109" s="740"/>
      <c r="V109" s="740"/>
      <c r="W109" s="740"/>
      <c r="X109" s="740"/>
    </row>
    <row r="110" spans="18:24">
      <c r="R110" s="740"/>
      <c r="S110" s="732"/>
      <c r="T110" s="740"/>
      <c r="U110" s="740"/>
      <c r="V110" s="740"/>
      <c r="W110" s="740"/>
      <c r="X110" s="740"/>
    </row>
    <row r="111" spans="18:24">
      <c r="R111" s="740"/>
      <c r="S111" s="732"/>
      <c r="T111" s="740"/>
      <c r="U111" s="740"/>
      <c r="V111" s="740"/>
      <c r="W111" s="740"/>
      <c r="X111" s="740"/>
    </row>
    <row r="112" spans="18:24">
      <c r="R112" s="740"/>
      <c r="S112" s="732"/>
      <c r="T112" s="740"/>
      <c r="U112" s="740"/>
      <c r="V112" s="740"/>
      <c r="W112" s="740"/>
      <c r="X112" s="740"/>
    </row>
    <row r="113" spans="18:24">
      <c r="R113" s="740"/>
      <c r="S113" s="732"/>
      <c r="T113" s="740"/>
      <c r="U113" s="740"/>
      <c r="V113" s="740"/>
      <c r="W113" s="740"/>
      <c r="X113" s="740"/>
    </row>
    <row r="114" spans="18:24">
      <c r="R114" s="740"/>
      <c r="S114" s="732"/>
      <c r="T114" s="740"/>
      <c r="U114" s="740"/>
      <c r="V114" s="740"/>
      <c r="W114" s="740"/>
      <c r="X114" s="740"/>
    </row>
    <row r="115" spans="18:24">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c r="R118" s="740"/>
      <c r="S118" s="732"/>
      <c r="T118" s="740"/>
      <c r="U118" s="740"/>
      <c r="V118" s="740"/>
      <c r="W118" s="740"/>
      <c r="X118" s="740"/>
    </row>
    <row r="119" spans="18:24">
      <c r="R119" s="740"/>
      <c r="S119" s="732"/>
      <c r="T119" s="740"/>
      <c r="U119" s="740"/>
      <c r="V119" s="740"/>
      <c r="W119" s="740"/>
      <c r="X119" s="740"/>
    </row>
    <row r="120" spans="18:24">
      <c r="R120" s="740"/>
      <c r="S120" s="732"/>
      <c r="T120" s="740"/>
      <c r="U120" s="740"/>
      <c r="V120" s="740"/>
      <c r="W120" s="740"/>
      <c r="X120" s="740"/>
    </row>
    <row r="121" spans="18:24">
      <c r="R121" s="740"/>
      <c r="S121" s="732"/>
      <c r="T121" s="740"/>
      <c r="U121" s="740"/>
      <c r="V121" s="740"/>
      <c r="W121" s="740"/>
      <c r="X121" s="740"/>
    </row>
    <row r="122" spans="18:24">
      <c r="R122" s="740"/>
      <c r="S122" s="732"/>
      <c r="T122" s="740"/>
      <c r="U122" s="740"/>
      <c r="V122" s="740"/>
      <c r="W122" s="740"/>
      <c r="X122" s="740"/>
    </row>
    <row r="123" spans="18:24">
      <c r="R123" s="740"/>
      <c r="S123" s="732"/>
      <c r="T123" s="740"/>
      <c r="U123" s="740"/>
      <c r="V123" s="740"/>
      <c r="W123" s="740"/>
      <c r="X123" s="740"/>
    </row>
    <row r="124" spans="18:24">
      <c r="R124" s="740"/>
      <c r="S124" s="732"/>
      <c r="T124" s="740"/>
      <c r="U124" s="740"/>
      <c r="V124" s="740"/>
      <c r="W124" s="740"/>
      <c r="X124" s="740"/>
    </row>
    <row r="125" spans="18:24">
      <c r="R125" s="740"/>
      <c r="S125" s="732"/>
      <c r="T125" s="740"/>
      <c r="U125" s="740"/>
      <c r="V125" s="740"/>
      <c r="W125" s="740"/>
      <c r="X125" s="740"/>
    </row>
    <row r="126" spans="18:24">
      <c r="R126" s="740"/>
      <c r="S126" s="732"/>
      <c r="T126" s="740"/>
      <c r="U126" s="740"/>
      <c r="V126" s="740"/>
      <c r="W126" s="740"/>
      <c r="X126" s="740"/>
    </row>
    <row r="127" spans="18:24">
      <c r="R127" s="740"/>
      <c r="S127" s="732"/>
      <c r="T127" s="740"/>
      <c r="U127" s="740"/>
      <c r="V127" s="740"/>
      <c r="W127" s="740"/>
      <c r="X127" s="740"/>
    </row>
    <row r="128" spans="18:24">
      <c r="R128" s="740"/>
      <c r="S128" s="732"/>
      <c r="T128" s="740"/>
      <c r="U128" s="740"/>
      <c r="V128" s="740"/>
      <c r="W128" s="740"/>
      <c r="X128" s="740"/>
    </row>
    <row r="129" spans="18:24">
      <c r="R129" s="740"/>
      <c r="S129" s="732"/>
      <c r="T129" s="740"/>
      <c r="U129" s="740"/>
      <c r="V129" s="740"/>
      <c r="W129" s="740"/>
      <c r="X129" s="740"/>
    </row>
    <row r="130" spans="18:24">
      <c r="R130" s="740"/>
      <c r="S130" s="732"/>
      <c r="T130" s="740"/>
      <c r="U130" s="740"/>
      <c r="V130" s="740"/>
      <c r="W130" s="740"/>
      <c r="X130" s="740"/>
    </row>
    <row r="131" spans="18:24">
      <c r="R131" s="740"/>
      <c r="S131" s="732"/>
      <c r="T131" s="740"/>
      <c r="U131" s="740"/>
      <c r="V131" s="740"/>
      <c r="W131" s="740"/>
      <c r="X131" s="740"/>
    </row>
    <row r="132" spans="18:24">
      <c r="R132" s="740"/>
      <c r="S132" s="732"/>
      <c r="T132" s="740"/>
      <c r="U132" s="740"/>
      <c r="V132" s="740"/>
      <c r="W132" s="740"/>
      <c r="X132" s="740"/>
    </row>
    <row r="133" spans="18:24">
      <c r="R133" s="740"/>
      <c r="S133" s="732"/>
      <c r="T133" s="740"/>
      <c r="U133" s="740"/>
      <c r="V133" s="740"/>
      <c r="W133" s="740"/>
      <c r="X133" s="740"/>
    </row>
    <row r="134" spans="18:24">
      <c r="R134" s="740"/>
      <c r="S134" s="732"/>
      <c r="T134" s="740"/>
      <c r="U134" s="740"/>
      <c r="V134" s="740"/>
      <c r="W134" s="740"/>
      <c r="X134" s="740"/>
    </row>
    <row r="135" spans="18:24">
      <c r="R135" s="740"/>
      <c r="S135" s="732"/>
      <c r="T135" s="740"/>
      <c r="U135" s="740"/>
      <c r="V135" s="740"/>
      <c r="W135" s="740"/>
      <c r="X135" s="740"/>
    </row>
    <row r="136" spans="18:24">
      <c r="R136" s="740"/>
      <c r="S136" s="732"/>
      <c r="T136" s="740"/>
      <c r="U136" s="740"/>
      <c r="V136" s="740"/>
      <c r="W136" s="740"/>
      <c r="X136" s="740"/>
    </row>
    <row r="137" spans="18:24">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c r="R140" s="740"/>
      <c r="S140" s="732"/>
      <c r="T140" s="740"/>
      <c r="U140" s="740"/>
      <c r="V140" s="740"/>
      <c r="W140" s="740"/>
      <c r="X140" s="740"/>
    </row>
    <row r="141" spans="18:24">
      <c r="R141" s="740"/>
      <c r="S141" s="732"/>
      <c r="T141" s="740"/>
      <c r="U141" s="740"/>
      <c r="V141" s="740"/>
      <c r="W141" s="740"/>
      <c r="X141" s="740"/>
    </row>
    <row r="142" spans="18:24">
      <c r="R142" s="740"/>
      <c r="S142" s="732"/>
      <c r="T142" s="740"/>
      <c r="U142" s="740"/>
      <c r="V142" s="740"/>
      <c r="W142" s="740"/>
      <c r="X142" s="740"/>
    </row>
    <row r="143" spans="18:24">
      <c r="R143" s="740"/>
      <c r="S143" s="732"/>
      <c r="T143" s="740"/>
      <c r="U143" s="740"/>
      <c r="V143" s="740"/>
      <c r="W143" s="740"/>
      <c r="X143" s="740"/>
    </row>
    <row r="144" spans="18:24">
      <c r="R144" s="740"/>
      <c r="S144" s="732"/>
      <c r="T144" s="740"/>
      <c r="U144" s="740"/>
      <c r="V144" s="740"/>
      <c r="W144" s="740"/>
      <c r="X144" s="740"/>
    </row>
    <row r="145" spans="18:24">
      <c r="R145" s="740"/>
      <c r="S145" s="732"/>
      <c r="T145" s="740"/>
      <c r="U145" s="740"/>
      <c r="V145" s="740"/>
      <c r="W145" s="740"/>
      <c r="X145" s="740"/>
    </row>
    <row r="146" spans="18:24">
      <c r="R146" s="740"/>
      <c r="S146" s="732"/>
      <c r="T146" s="740"/>
      <c r="U146" s="740"/>
      <c r="V146" s="740"/>
      <c r="W146" s="740"/>
      <c r="X146" s="740"/>
    </row>
    <row r="147" spans="18:24">
      <c r="R147" s="740"/>
      <c r="S147" s="732"/>
      <c r="T147" s="740"/>
      <c r="U147" s="740"/>
      <c r="V147" s="740"/>
      <c r="W147" s="740"/>
      <c r="X147" s="740"/>
    </row>
    <row r="148" spans="18:24">
      <c r="R148" s="740"/>
      <c r="S148" s="732"/>
      <c r="T148" s="740"/>
      <c r="U148" s="740"/>
      <c r="V148" s="740"/>
      <c r="W148" s="740"/>
      <c r="X148" s="740"/>
    </row>
    <row r="149" spans="18:24">
      <c r="R149" s="740"/>
      <c r="S149" s="732"/>
      <c r="T149" s="740"/>
      <c r="U149" s="740"/>
      <c r="V149" s="740"/>
      <c r="W149" s="740"/>
      <c r="X149" s="740"/>
    </row>
    <row r="150" spans="18:24">
      <c r="R150" s="740"/>
      <c r="S150" s="732"/>
      <c r="T150" s="740"/>
      <c r="U150" s="740"/>
      <c r="V150" s="740"/>
      <c r="W150" s="740"/>
      <c r="X150" s="740"/>
    </row>
    <row r="151" spans="18:24">
      <c r="R151" s="740"/>
      <c r="S151" s="732"/>
      <c r="T151" s="740"/>
      <c r="U151" s="740"/>
      <c r="V151" s="740"/>
      <c r="W151" s="740"/>
      <c r="X151" s="740"/>
    </row>
    <row r="152" spans="18:24">
      <c r="R152" s="740"/>
      <c r="S152" s="732"/>
      <c r="T152" s="740"/>
      <c r="U152" s="740"/>
      <c r="V152" s="740"/>
      <c r="W152" s="740"/>
      <c r="X152" s="740"/>
    </row>
    <row r="153" spans="18:24">
      <c r="R153" s="740"/>
      <c r="S153" s="732"/>
      <c r="T153" s="740"/>
      <c r="U153" s="740"/>
      <c r="V153" s="740"/>
      <c r="W153" s="740"/>
      <c r="X153" s="740"/>
    </row>
    <row r="154" spans="18:24">
      <c r="R154" s="740"/>
      <c r="S154" s="732"/>
      <c r="T154" s="740"/>
      <c r="U154" s="740"/>
      <c r="V154" s="740"/>
      <c r="W154" s="740"/>
      <c r="X154" s="740"/>
    </row>
    <row r="155" spans="18:24">
      <c r="R155" s="740"/>
      <c r="S155" s="732"/>
      <c r="T155" s="740"/>
      <c r="U155" s="740"/>
      <c r="V155" s="740"/>
      <c r="W155" s="740"/>
      <c r="X155" s="740"/>
    </row>
    <row r="156" spans="18:24">
      <c r="R156" s="740"/>
      <c r="S156" s="732"/>
      <c r="T156" s="740"/>
      <c r="U156" s="740"/>
      <c r="V156" s="740"/>
      <c r="W156" s="740"/>
      <c r="X156" s="740"/>
    </row>
    <row r="157" spans="18:24">
      <c r="R157" s="740"/>
      <c r="S157" s="732"/>
      <c r="T157" s="740"/>
      <c r="U157" s="740"/>
      <c r="V157" s="740"/>
      <c r="W157" s="740"/>
      <c r="X157" s="740"/>
    </row>
    <row r="158" spans="18:24">
      <c r="R158" s="740"/>
      <c r="S158" s="732"/>
      <c r="T158" s="740"/>
      <c r="U158" s="740"/>
      <c r="V158" s="740"/>
      <c r="W158" s="740"/>
      <c r="X158" s="740"/>
    </row>
    <row r="159" spans="18:24">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c r="R162" s="740"/>
      <c r="S162" s="732"/>
      <c r="T162" s="740"/>
      <c r="U162" s="740"/>
      <c r="V162" s="740"/>
      <c r="W162" s="740"/>
      <c r="X162" s="740"/>
    </row>
    <row r="163" spans="18:24">
      <c r="R163" s="740"/>
      <c r="S163" s="732"/>
      <c r="T163" s="740"/>
      <c r="U163" s="740"/>
      <c r="V163" s="740"/>
      <c r="W163" s="740"/>
      <c r="X163" s="740"/>
    </row>
    <row r="164" spans="18:24">
      <c r="R164" s="740"/>
      <c r="S164" s="732"/>
      <c r="T164" s="740"/>
      <c r="U164" s="740"/>
      <c r="V164" s="740"/>
      <c r="W164" s="740"/>
      <c r="X164" s="740"/>
    </row>
    <row r="165" spans="18:24">
      <c r="R165" s="740"/>
      <c r="S165" s="732"/>
      <c r="T165" s="740"/>
      <c r="U165" s="740"/>
      <c r="V165" s="740"/>
      <c r="W165" s="740"/>
      <c r="X165" s="740"/>
    </row>
    <row r="166" spans="18:24">
      <c r="R166" s="740"/>
      <c r="S166" s="732"/>
      <c r="T166" s="740"/>
      <c r="U166" s="740"/>
      <c r="V166" s="740"/>
      <c r="W166" s="740"/>
      <c r="X166" s="740"/>
    </row>
    <row r="167" spans="18:24">
      <c r="R167" s="740"/>
      <c r="S167" s="732"/>
      <c r="T167" s="740"/>
      <c r="U167" s="740"/>
      <c r="V167" s="740"/>
      <c r="W167" s="740"/>
      <c r="X167" s="740"/>
    </row>
    <row r="168" spans="18:24">
      <c r="R168" s="740"/>
      <c r="S168" s="732"/>
      <c r="T168" s="740"/>
      <c r="U168" s="740"/>
      <c r="V168" s="740"/>
      <c r="W168" s="740"/>
      <c r="X168" s="740"/>
    </row>
    <row r="169" spans="18:24">
      <c r="R169" s="740"/>
      <c r="S169" s="732"/>
      <c r="T169" s="740"/>
      <c r="U169" s="740"/>
      <c r="V169" s="740"/>
      <c r="W169" s="740"/>
      <c r="X169" s="740"/>
    </row>
    <row r="170" spans="18:24">
      <c r="R170" s="740"/>
      <c r="S170" s="732"/>
      <c r="T170" s="740"/>
      <c r="U170" s="740"/>
      <c r="V170" s="740"/>
      <c r="W170" s="740"/>
      <c r="X170" s="740"/>
    </row>
    <row r="171" spans="18:24">
      <c r="R171" s="740"/>
      <c r="S171" s="732"/>
      <c r="T171" s="740"/>
      <c r="U171" s="740"/>
      <c r="V171" s="740"/>
      <c r="W171" s="740"/>
      <c r="X171" s="740"/>
    </row>
    <row r="172" spans="18:24">
      <c r="R172" s="740"/>
      <c r="S172" s="732"/>
      <c r="T172" s="740"/>
      <c r="U172" s="740"/>
      <c r="V172" s="740"/>
      <c r="W172" s="740"/>
      <c r="X172" s="740"/>
    </row>
    <row r="173" spans="18:24">
      <c r="R173" s="740"/>
      <c r="S173" s="732"/>
      <c r="T173" s="740"/>
      <c r="U173" s="740"/>
      <c r="V173" s="740"/>
      <c r="W173" s="740"/>
      <c r="X173" s="740"/>
    </row>
    <row r="174" spans="18:24">
      <c r="R174" s="740"/>
      <c r="S174" s="732"/>
      <c r="T174" s="740"/>
      <c r="U174" s="740"/>
      <c r="V174" s="740"/>
      <c r="W174" s="740"/>
      <c r="X174" s="740"/>
    </row>
    <row r="175" spans="18:24">
      <c r="R175" s="740"/>
      <c r="S175" s="732"/>
      <c r="T175" s="740"/>
      <c r="U175" s="740"/>
      <c r="V175" s="740"/>
      <c r="W175" s="740"/>
      <c r="X175" s="740"/>
    </row>
    <row r="176" spans="18:24">
      <c r="R176" s="740"/>
      <c r="S176" s="732"/>
      <c r="T176" s="740"/>
      <c r="U176" s="740"/>
      <c r="V176" s="740"/>
      <c r="W176" s="740"/>
      <c r="X176" s="740"/>
    </row>
    <row r="177" spans="18:24">
      <c r="R177" s="740"/>
      <c r="S177" s="732"/>
      <c r="T177" s="740"/>
      <c r="U177" s="740"/>
      <c r="V177" s="740"/>
      <c r="W177" s="740"/>
      <c r="X177" s="740"/>
    </row>
    <row r="178" spans="18:24">
      <c r="R178" s="740"/>
      <c r="S178" s="732"/>
      <c r="T178" s="740"/>
      <c r="U178" s="740"/>
      <c r="V178" s="740"/>
      <c r="W178" s="740"/>
      <c r="X178" s="740"/>
    </row>
    <row r="179" spans="18:24">
      <c r="R179" s="740"/>
      <c r="S179" s="732"/>
      <c r="T179" s="740"/>
      <c r="U179" s="740"/>
      <c r="V179" s="740"/>
      <c r="W179" s="740"/>
      <c r="X179" s="740"/>
    </row>
    <row r="180" spans="18:24">
      <c r="R180" s="740"/>
      <c r="S180" s="732"/>
      <c r="T180" s="740"/>
      <c r="U180" s="740"/>
      <c r="V180" s="740"/>
      <c r="W180" s="740"/>
      <c r="X180" s="740"/>
    </row>
    <row r="181" spans="18:24">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P0VGY/W+R2NsUxpKL7LTw4SumRJIRC1LgbcEfR2B2DH0vPKriJ67tluQj+sanwjTPjhmsVxv6ttkGkSpSGP1JQ==" saltValue="Rn+6sGx2urrAUOp8gBRrqg==" spinCount="100000" sheet="1" scenarios="1" formatCells="0" autoFilter="0"/>
  <autoFilter ref="A8:AE38"/>
  <phoneticPr fontId="163" type="noConversion"/>
  <conditionalFormatting sqref="P4:Q4">
    <cfRule type="expression" dxfId="3904" priority="2" stopIfTrue="1">
      <formula>$P4&lt;&gt;""</formula>
    </cfRule>
  </conditionalFormatting>
  <conditionalFormatting sqref="AE9:AE39">
    <cfRule type="expression" dxfId="3903" priority="11" stopIfTrue="1">
      <formula>AE9&lt;&gt;""</formula>
    </cfRule>
  </conditionalFormatting>
  <conditionalFormatting sqref="B9:B38">
    <cfRule type="expression" dxfId="3902"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09765625" defaultRowHeight="13"/>
  <cols>
    <col min="1" max="1" width="9.765625E-2" style="2754" customWidth="1"/>
    <col min="2" max="2" width="7.69921875" style="637" customWidth="1"/>
    <col min="3" max="7" width="9.765625E-2" style="2754" customWidth="1"/>
    <col min="8" max="8" width="5.3984375" style="1" customWidth="1"/>
    <col min="9" max="9" width="6.296875" style="1" customWidth="1"/>
    <col min="10" max="10" width="5.8984375" style="1" customWidth="1"/>
    <col min="11" max="11" width="28.69921875" style="1" customWidth="1"/>
    <col min="12" max="12" width="12.69921875" style="1" customWidth="1"/>
    <col min="13" max="13" width="10.69921875" style="1" customWidth="1"/>
    <col min="14" max="14" width="12.69921875" style="1" customWidth="1"/>
    <col min="15" max="16" width="14.69921875" style="1" customWidth="1"/>
    <col min="17" max="17" width="7.59765625" style="1" customWidth="1"/>
    <col min="18" max="18" width="25" style="1" customWidth="1"/>
    <col min="19" max="20" width="14.69921875" style="1" customWidth="1"/>
    <col min="21" max="16384" width="9.09765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余江县天骏投资管理有限公司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43864</v>
      </c>
      <c r="P5" s="675" t="s">
        <v>6593</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6601</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7">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7">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7">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7">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7">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7">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7">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7">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7">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7">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7">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7">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7">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7">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7">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7">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7">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7">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7">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7">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7">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7">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7">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7">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7">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7">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7">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7">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7">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7">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3901" priority="2" stopIfTrue="1">
      <formula>$P4&lt;&gt;""</formula>
    </cfRule>
  </conditionalFormatting>
  <conditionalFormatting sqref="R9:R38">
    <cfRule type="expression" dxfId="3900" priority="9" stopIfTrue="1">
      <formula>R9&lt;&gt;""</formula>
    </cfRule>
  </conditionalFormatting>
  <conditionalFormatting sqref="B9:B38">
    <cfRule type="expression" dxfId="3899"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09765625" defaultRowHeight="13"/>
  <cols>
    <col min="1" max="1" width="9.765625E-2" style="2754" customWidth="1"/>
    <col min="2" max="2" width="7.69921875" style="637" customWidth="1"/>
    <col min="3" max="7" width="9.765625E-2" style="2754" customWidth="1"/>
    <col min="8" max="8" width="4.59765625" style="1" customWidth="1"/>
    <col min="9" max="9" width="6.296875" style="1" customWidth="1"/>
    <col min="10" max="10" width="5.8984375" style="1" customWidth="1"/>
    <col min="11" max="11" width="28.69921875" style="1" customWidth="1"/>
    <col min="12" max="12" width="17.69921875" style="1" customWidth="1"/>
    <col min="13" max="13" width="9.69921875" style="1" customWidth="1"/>
    <col min="14" max="14" width="8.69921875" style="1" customWidth="1"/>
    <col min="15" max="16" width="14.69921875" style="1" customWidth="1"/>
    <col min="17" max="17" width="7.59765625" style="1" customWidth="1"/>
    <col min="18" max="18" width="7.3984375" style="1" customWidth="1"/>
    <col min="19" max="19" width="8.09765625" style="641" customWidth="1"/>
    <col min="20" max="20" width="16" style="1" customWidth="1"/>
    <col min="21" max="21" width="6.09765625" style="1" customWidth="1"/>
    <col min="22" max="22" width="9.69921875" style="1" customWidth="1"/>
    <col min="23" max="23" width="12.69921875" style="1" customWidth="1"/>
    <col min="24" max="24" width="9.69921875" style="1" customWidth="1"/>
    <col min="25" max="25" width="15.69921875" style="1" customWidth="1"/>
    <col min="26" max="26" width="9.69921875" style="1" customWidth="1"/>
    <col min="27" max="30" width="9.765625E-2" style="2754" customWidth="1"/>
    <col min="31" max="31" width="25" style="1" customWidth="1"/>
    <col min="32" max="16384" width="9.09765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余江县天骏投资管理有限公司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43864</v>
      </c>
      <c r="P5" s="767" t="s">
        <v>2708</v>
      </c>
      <c r="Q5" s="1453" t="s">
        <v>6594</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6601</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6795</v>
      </c>
      <c r="Z8" s="729" t="s">
        <v>2682</v>
      </c>
      <c r="AA8" s="2771" t="s">
        <v>2683</v>
      </c>
      <c r="AB8" s="2771" t="s">
        <v>2684</v>
      </c>
      <c r="AC8" s="2771" t="s">
        <v>2685</v>
      </c>
      <c r="AD8" s="2771" t="s">
        <v>2686</v>
      </c>
      <c r="AE8" s="729" t="s">
        <v>2687</v>
      </c>
      <c r="AF8" s="641"/>
    </row>
    <row r="9" spans="1:32" ht="17">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7">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7">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7">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7">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7">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7">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7">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7">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7">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7">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7">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7">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7">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7">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7">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7">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7">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7">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7">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7">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7">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7">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7">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7">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7">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7">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7">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7">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7">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7"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28"/>
      <c r="N44" s="3129"/>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30"/>
      <c r="N45" s="3131"/>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30"/>
      <c r="N46" s="3131"/>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30"/>
      <c r="N47" s="3131"/>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30"/>
      <c r="N48" s="3131"/>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26"/>
      <c r="N49" s="3127"/>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c r="R55" s="740"/>
      <c r="S55" s="732"/>
      <c r="T55" s="740"/>
      <c r="U55" s="740"/>
      <c r="V55" s="740"/>
      <c r="W55" s="740"/>
      <c r="X55" s="740"/>
    </row>
    <row r="56" spans="1:28">
      <c r="R56" s="740"/>
      <c r="S56" s="732"/>
      <c r="T56" s="740"/>
      <c r="U56" s="740"/>
      <c r="V56" s="740"/>
      <c r="W56" s="740"/>
      <c r="X56" s="740"/>
    </row>
    <row r="57" spans="1:28">
      <c r="R57" s="740"/>
      <c r="S57" s="732"/>
      <c r="T57" s="740"/>
      <c r="U57" s="740"/>
      <c r="V57" s="740"/>
      <c r="W57" s="740"/>
      <c r="X57" s="740"/>
    </row>
    <row r="58" spans="1:28">
      <c r="R58" s="740"/>
      <c r="S58" s="732"/>
      <c r="T58" s="740"/>
      <c r="U58" s="740"/>
      <c r="V58" s="740"/>
      <c r="W58" s="740"/>
      <c r="X58" s="740"/>
    </row>
    <row r="59" spans="1:28">
      <c r="R59" s="740"/>
      <c r="S59" s="732"/>
      <c r="T59" s="740"/>
      <c r="U59" s="740"/>
      <c r="V59" s="740"/>
      <c r="W59" s="740"/>
      <c r="X59" s="740"/>
    </row>
    <row r="60" spans="1:28">
      <c r="R60" s="740"/>
      <c r="S60" s="732"/>
      <c r="T60" s="740"/>
      <c r="U60" s="740"/>
      <c r="V60" s="740"/>
      <c r="W60" s="740"/>
      <c r="X60" s="740"/>
    </row>
    <row r="61" spans="1:28">
      <c r="R61" s="740"/>
      <c r="S61" s="732"/>
      <c r="T61" s="740"/>
      <c r="U61" s="740"/>
      <c r="V61" s="740"/>
      <c r="W61" s="740"/>
      <c r="X61" s="740"/>
    </row>
    <row r="62" spans="1:28">
      <c r="R62" s="740"/>
      <c r="S62" s="732"/>
      <c r="T62" s="740"/>
      <c r="U62" s="740"/>
      <c r="V62" s="740"/>
      <c r="W62" s="740"/>
      <c r="X62" s="740"/>
    </row>
    <row r="63" spans="1:28">
      <c r="R63" s="740"/>
      <c r="S63" s="732"/>
      <c r="T63" s="740"/>
      <c r="U63" s="740"/>
      <c r="V63" s="740"/>
      <c r="W63" s="740"/>
      <c r="X63" s="740"/>
    </row>
    <row r="64" spans="1:28">
      <c r="R64" s="740"/>
      <c r="S64" s="732"/>
      <c r="T64" s="740"/>
      <c r="U64" s="740"/>
      <c r="V64" s="740"/>
      <c r="W64" s="740"/>
      <c r="X64" s="740"/>
    </row>
    <row r="65" spans="18:24">
      <c r="R65" s="740"/>
      <c r="S65" s="732"/>
      <c r="T65" s="740"/>
      <c r="U65" s="740"/>
      <c r="V65" s="740"/>
      <c r="W65" s="740"/>
      <c r="X65" s="740"/>
    </row>
    <row r="66" spans="18:24">
      <c r="R66" s="740"/>
      <c r="S66" s="732"/>
      <c r="T66" s="740"/>
      <c r="U66" s="740"/>
      <c r="V66" s="740"/>
      <c r="W66" s="740"/>
      <c r="X66" s="740"/>
    </row>
    <row r="67" spans="18:24">
      <c r="R67" s="740"/>
      <c r="S67" s="732"/>
      <c r="T67" s="740"/>
      <c r="U67" s="740"/>
      <c r="V67" s="740"/>
      <c r="W67" s="740"/>
      <c r="X67" s="740"/>
    </row>
    <row r="68" spans="18:24">
      <c r="R68" s="740"/>
      <c r="S68" s="732"/>
      <c r="T68" s="740"/>
      <c r="U68" s="740"/>
      <c r="V68" s="740"/>
      <c r="W68" s="740"/>
      <c r="X68" s="740"/>
    </row>
    <row r="69" spans="18:24">
      <c r="R69" s="740"/>
      <c r="S69" s="732"/>
      <c r="T69" s="740"/>
      <c r="U69" s="740"/>
      <c r="V69" s="740"/>
      <c r="W69" s="740"/>
      <c r="X69" s="740"/>
    </row>
    <row r="70" spans="18:24">
      <c r="R70" s="740"/>
      <c r="S70" s="732"/>
      <c r="T70" s="740"/>
      <c r="U70" s="740"/>
      <c r="V70" s="740"/>
      <c r="W70" s="740"/>
      <c r="X70" s="740"/>
    </row>
    <row r="71" spans="18:24">
      <c r="R71" s="740"/>
      <c r="S71" s="732"/>
      <c r="T71" s="740"/>
      <c r="U71" s="740"/>
      <c r="V71" s="740"/>
      <c r="W71" s="740"/>
      <c r="X71" s="740"/>
    </row>
    <row r="72" spans="18:24">
      <c r="R72" s="740"/>
      <c r="S72" s="736"/>
      <c r="T72" s="740"/>
      <c r="U72" s="740"/>
      <c r="V72" s="740"/>
      <c r="W72" s="740"/>
      <c r="X72" s="740"/>
    </row>
    <row r="73" spans="18:24">
      <c r="R73" s="740"/>
      <c r="T73" s="740"/>
      <c r="U73" s="740"/>
      <c r="V73" s="740"/>
      <c r="W73" s="740"/>
      <c r="X73" s="740"/>
    </row>
    <row r="74" spans="18:24">
      <c r="R74" s="742"/>
      <c r="S74" s="732"/>
      <c r="T74" s="742"/>
      <c r="U74" s="742"/>
      <c r="V74" s="742"/>
      <c r="W74" s="742"/>
      <c r="X74" s="742"/>
    </row>
    <row r="75" spans="18:24">
      <c r="R75" s="641"/>
      <c r="S75" s="732"/>
      <c r="T75" s="641"/>
      <c r="U75" s="641"/>
      <c r="V75" s="641"/>
      <c r="W75" s="641"/>
      <c r="X75" s="641"/>
    </row>
    <row r="76" spans="18:24">
      <c r="R76" s="740"/>
      <c r="S76" s="732"/>
      <c r="T76" s="740"/>
      <c r="U76" s="740"/>
      <c r="V76" s="740"/>
      <c r="W76" s="740"/>
      <c r="X76" s="740"/>
    </row>
    <row r="77" spans="18:24">
      <c r="R77" s="740"/>
      <c r="S77" s="732"/>
      <c r="T77" s="740"/>
      <c r="U77" s="740"/>
      <c r="V77" s="740"/>
      <c r="W77" s="740"/>
      <c r="X77" s="740"/>
    </row>
    <row r="78" spans="18:24">
      <c r="R78" s="740"/>
      <c r="S78" s="732"/>
      <c r="T78" s="740"/>
      <c r="U78" s="740"/>
      <c r="V78" s="740"/>
      <c r="W78" s="740"/>
      <c r="X78" s="740"/>
    </row>
    <row r="79" spans="18:24">
      <c r="R79" s="740"/>
      <c r="S79" s="732"/>
      <c r="T79" s="740"/>
      <c r="U79" s="740"/>
      <c r="V79" s="740"/>
      <c r="W79" s="740"/>
      <c r="X79" s="740"/>
    </row>
    <row r="80" spans="18:24">
      <c r="R80" s="740"/>
      <c r="S80" s="732"/>
      <c r="T80" s="740"/>
      <c r="U80" s="740"/>
      <c r="V80" s="740"/>
      <c r="W80" s="740"/>
      <c r="X80" s="740"/>
    </row>
    <row r="81" spans="18:24">
      <c r="R81" s="740"/>
      <c r="S81" s="732"/>
      <c r="T81" s="740"/>
      <c r="U81" s="740"/>
      <c r="V81" s="740"/>
      <c r="W81" s="740"/>
      <c r="X81" s="740"/>
    </row>
    <row r="82" spans="18:24">
      <c r="R82" s="740"/>
      <c r="S82" s="732"/>
      <c r="T82" s="740"/>
      <c r="U82" s="740"/>
      <c r="V82" s="740"/>
      <c r="W82" s="740"/>
      <c r="X82" s="740"/>
    </row>
    <row r="83" spans="18:24">
      <c r="R83" s="740"/>
      <c r="S83" s="732"/>
      <c r="T83" s="740"/>
      <c r="U83" s="740"/>
      <c r="V83" s="740"/>
      <c r="W83" s="740"/>
      <c r="X83" s="740"/>
    </row>
    <row r="84" spans="18:24">
      <c r="R84" s="740"/>
      <c r="S84" s="732"/>
      <c r="T84" s="740"/>
      <c r="U84" s="740"/>
      <c r="V84" s="740"/>
      <c r="W84" s="740"/>
      <c r="X84" s="740"/>
    </row>
    <row r="85" spans="18:24">
      <c r="R85" s="740"/>
      <c r="S85" s="732"/>
      <c r="T85" s="740"/>
      <c r="U85" s="740"/>
      <c r="V85" s="740"/>
      <c r="W85" s="740"/>
      <c r="X85" s="740"/>
    </row>
    <row r="86" spans="18:24">
      <c r="R86" s="740"/>
      <c r="S86" s="732"/>
      <c r="T86" s="740"/>
      <c r="U86" s="740"/>
      <c r="V86" s="740"/>
      <c r="W86" s="740"/>
      <c r="X86" s="740"/>
    </row>
    <row r="87" spans="18:24">
      <c r="R87" s="740"/>
      <c r="S87" s="732"/>
      <c r="T87" s="740"/>
      <c r="U87" s="740"/>
      <c r="V87" s="740"/>
      <c r="W87" s="740"/>
      <c r="X87" s="740"/>
    </row>
    <row r="88" spans="18:24">
      <c r="R88" s="740"/>
      <c r="S88" s="732"/>
      <c r="T88" s="740"/>
      <c r="U88" s="740"/>
      <c r="V88" s="740"/>
      <c r="W88" s="740"/>
      <c r="X88" s="740"/>
    </row>
    <row r="89" spans="18:24">
      <c r="R89" s="740"/>
      <c r="S89" s="732"/>
      <c r="T89" s="740"/>
      <c r="U89" s="740"/>
      <c r="V89" s="740"/>
      <c r="W89" s="740"/>
      <c r="X89" s="740"/>
    </row>
    <row r="90" spans="18:24">
      <c r="R90" s="740"/>
      <c r="S90" s="732"/>
      <c r="T90" s="740"/>
      <c r="U90" s="740"/>
      <c r="V90" s="740"/>
      <c r="W90" s="740"/>
      <c r="X90" s="740"/>
    </row>
    <row r="91" spans="18:24">
      <c r="R91" s="740"/>
      <c r="S91" s="732"/>
      <c r="T91" s="740"/>
      <c r="U91" s="740"/>
      <c r="V91" s="740"/>
      <c r="W91" s="740"/>
      <c r="X91" s="740"/>
    </row>
    <row r="92" spans="18:24">
      <c r="R92" s="740"/>
      <c r="S92" s="732"/>
      <c r="T92" s="740"/>
      <c r="U92" s="740"/>
      <c r="V92" s="740"/>
      <c r="W92" s="740"/>
      <c r="X92" s="740"/>
    </row>
    <row r="93" spans="18:24">
      <c r="R93" s="740"/>
      <c r="S93" s="732"/>
      <c r="T93" s="740"/>
      <c r="U93" s="740"/>
      <c r="V93" s="740"/>
      <c r="W93" s="740"/>
      <c r="X93" s="740"/>
    </row>
    <row r="94" spans="18:24">
      <c r="R94" s="740"/>
      <c r="S94" s="736"/>
      <c r="T94" s="740"/>
      <c r="U94" s="740"/>
      <c r="V94" s="740"/>
      <c r="W94" s="740"/>
      <c r="X94" s="740"/>
    </row>
    <row r="95" spans="18:24">
      <c r="R95" s="740"/>
      <c r="T95" s="740"/>
      <c r="U95" s="740"/>
      <c r="V95" s="740"/>
      <c r="W95" s="740"/>
      <c r="X95" s="740"/>
    </row>
    <row r="96" spans="18:24">
      <c r="R96" s="742"/>
      <c r="S96" s="732"/>
      <c r="T96" s="742"/>
      <c r="U96" s="742"/>
      <c r="V96" s="742"/>
      <c r="W96" s="742"/>
      <c r="X96" s="742"/>
    </row>
    <row r="97" spans="18:24">
      <c r="R97" s="641"/>
      <c r="S97" s="732"/>
      <c r="T97" s="641"/>
      <c r="U97" s="641"/>
      <c r="V97" s="641"/>
      <c r="W97" s="641"/>
      <c r="X97" s="641"/>
    </row>
    <row r="98" spans="18:24">
      <c r="R98" s="740"/>
      <c r="S98" s="732"/>
      <c r="T98" s="740"/>
      <c r="U98" s="740"/>
      <c r="V98" s="740"/>
      <c r="W98" s="740"/>
      <c r="X98" s="740"/>
    </row>
    <row r="99" spans="18:24">
      <c r="R99" s="740"/>
      <c r="S99" s="732"/>
      <c r="T99" s="740"/>
      <c r="U99" s="740"/>
      <c r="V99" s="740"/>
      <c r="W99" s="740"/>
      <c r="X99" s="740"/>
    </row>
    <row r="100" spans="18:24">
      <c r="R100" s="740"/>
      <c r="S100" s="732"/>
      <c r="T100" s="740"/>
      <c r="U100" s="740"/>
      <c r="V100" s="740"/>
      <c r="W100" s="740"/>
      <c r="X100" s="740"/>
    </row>
    <row r="101" spans="18:24">
      <c r="R101" s="740"/>
      <c r="S101" s="732"/>
      <c r="T101" s="740"/>
      <c r="U101" s="740"/>
      <c r="V101" s="740"/>
      <c r="W101" s="740"/>
      <c r="X101" s="740"/>
    </row>
    <row r="102" spans="18:24">
      <c r="R102" s="740"/>
      <c r="S102" s="732"/>
      <c r="T102" s="740"/>
      <c r="U102" s="740"/>
      <c r="V102" s="740"/>
      <c r="W102" s="740"/>
      <c r="X102" s="740"/>
    </row>
    <row r="103" spans="18:24">
      <c r="R103" s="740"/>
      <c r="S103" s="732"/>
      <c r="T103" s="740"/>
      <c r="U103" s="740"/>
      <c r="V103" s="740"/>
      <c r="W103" s="740"/>
      <c r="X103" s="740"/>
    </row>
    <row r="104" spans="18:24">
      <c r="R104" s="740"/>
      <c r="S104" s="732"/>
      <c r="T104" s="740"/>
      <c r="U104" s="740"/>
      <c r="V104" s="740"/>
      <c r="W104" s="740"/>
      <c r="X104" s="740"/>
    </row>
    <row r="105" spans="18:24">
      <c r="R105" s="740"/>
      <c r="S105" s="732"/>
      <c r="T105" s="740"/>
      <c r="U105" s="740"/>
      <c r="V105" s="740"/>
      <c r="W105" s="740"/>
      <c r="X105" s="740"/>
    </row>
    <row r="106" spans="18:24">
      <c r="R106" s="740"/>
      <c r="S106" s="732"/>
      <c r="T106" s="740"/>
      <c r="U106" s="740"/>
      <c r="V106" s="740"/>
      <c r="W106" s="740"/>
      <c r="X106" s="740"/>
    </row>
    <row r="107" spans="18:24">
      <c r="R107" s="740"/>
      <c r="S107" s="732"/>
      <c r="T107" s="740"/>
      <c r="U107" s="740"/>
      <c r="V107" s="740"/>
      <c r="W107" s="740"/>
      <c r="X107" s="740"/>
    </row>
    <row r="108" spans="18:24">
      <c r="R108" s="740"/>
      <c r="S108" s="732"/>
      <c r="T108" s="740"/>
      <c r="U108" s="740"/>
      <c r="V108" s="740"/>
      <c r="W108" s="740"/>
      <c r="X108" s="740"/>
    </row>
    <row r="109" spans="18:24">
      <c r="R109" s="740"/>
      <c r="S109" s="732"/>
      <c r="T109" s="740"/>
      <c r="U109" s="740"/>
      <c r="V109" s="740"/>
      <c r="W109" s="740"/>
      <c r="X109" s="740"/>
    </row>
    <row r="110" spans="18:24">
      <c r="R110" s="740"/>
      <c r="S110" s="732"/>
      <c r="T110" s="740"/>
      <c r="U110" s="740"/>
      <c r="V110" s="740"/>
      <c r="W110" s="740"/>
      <c r="X110" s="740"/>
    </row>
    <row r="111" spans="18:24">
      <c r="R111" s="740"/>
      <c r="S111" s="732"/>
      <c r="T111" s="740"/>
      <c r="U111" s="740"/>
      <c r="V111" s="740"/>
      <c r="W111" s="740"/>
      <c r="X111" s="740"/>
    </row>
    <row r="112" spans="18:24">
      <c r="R112" s="740"/>
      <c r="S112" s="732"/>
      <c r="T112" s="740"/>
      <c r="U112" s="740"/>
      <c r="V112" s="740"/>
      <c r="W112" s="740"/>
      <c r="X112" s="740"/>
    </row>
    <row r="113" spans="18:24">
      <c r="R113" s="740"/>
      <c r="S113" s="732"/>
      <c r="T113" s="740"/>
      <c r="U113" s="740"/>
      <c r="V113" s="740"/>
      <c r="W113" s="740"/>
      <c r="X113" s="740"/>
    </row>
    <row r="114" spans="18:24">
      <c r="R114" s="740"/>
      <c r="S114" s="732"/>
      <c r="T114" s="740"/>
      <c r="U114" s="740"/>
      <c r="V114" s="740"/>
      <c r="W114" s="740"/>
      <c r="X114" s="740"/>
    </row>
    <row r="115" spans="18:24">
      <c r="R115" s="740"/>
      <c r="S115" s="732"/>
      <c r="T115" s="740"/>
      <c r="U115" s="740"/>
      <c r="V115" s="740"/>
      <c r="W115" s="740"/>
      <c r="X115" s="740"/>
    </row>
    <row r="116" spans="18:24">
      <c r="R116" s="740"/>
      <c r="S116" s="736"/>
      <c r="T116" s="740"/>
      <c r="U116" s="740"/>
      <c r="V116" s="740"/>
      <c r="W116" s="740"/>
      <c r="X116" s="740"/>
    </row>
    <row r="117" spans="18:24">
      <c r="R117" s="740"/>
      <c r="T117" s="740"/>
      <c r="U117" s="740"/>
      <c r="V117" s="740"/>
      <c r="W117" s="740"/>
      <c r="X117" s="740"/>
    </row>
    <row r="118" spans="18:24">
      <c r="R118" s="742"/>
      <c r="S118" s="732"/>
      <c r="T118" s="742"/>
      <c r="U118" s="742"/>
      <c r="V118" s="742"/>
      <c r="W118" s="742"/>
      <c r="X118" s="742"/>
    </row>
    <row r="119" spans="18:24">
      <c r="R119" s="641"/>
      <c r="S119" s="732"/>
      <c r="T119" s="641"/>
      <c r="U119" s="641"/>
      <c r="V119" s="641"/>
      <c r="W119" s="641"/>
      <c r="X119" s="641"/>
    </row>
    <row r="120" spans="18:24">
      <c r="R120" s="740"/>
      <c r="S120" s="732"/>
      <c r="T120" s="740"/>
      <c r="U120" s="740"/>
      <c r="V120" s="740"/>
      <c r="W120" s="740"/>
      <c r="X120" s="740"/>
    </row>
    <row r="121" spans="18:24">
      <c r="R121" s="740"/>
      <c r="S121" s="732"/>
      <c r="T121" s="740"/>
      <c r="U121" s="740"/>
      <c r="V121" s="740"/>
      <c r="W121" s="740"/>
      <c r="X121" s="740"/>
    </row>
    <row r="122" spans="18:24">
      <c r="R122" s="740"/>
      <c r="S122" s="732"/>
      <c r="T122" s="740"/>
      <c r="U122" s="740"/>
      <c r="V122" s="740"/>
      <c r="W122" s="740"/>
      <c r="X122" s="740"/>
    </row>
    <row r="123" spans="18:24">
      <c r="R123" s="740"/>
      <c r="S123" s="732"/>
      <c r="T123" s="740"/>
      <c r="U123" s="740"/>
      <c r="V123" s="740"/>
      <c r="W123" s="740"/>
      <c r="X123" s="740"/>
    </row>
    <row r="124" spans="18:24">
      <c r="R124" s="740"/>
      <c r="S124" s="732"/>
      <c r="T124" s="740"/>
      <c r="U124" s="740"/>
      <c r="V124" s="740"/>
      <c r="W124" s="740"/>
      <c r="X124" s="740"/>
    </row>
    <row r="125" spans="18:24">
      <c r="R125" s="740"/>
      <c r="S125" s="732"/>
      <c r="T125" s="740"/>
      <c r="U125" s="740"/>
      <c r="V125" s="740"/>
      <c r="W125" s="740"/>
      <c r="X125" s="740"/>
    </row>
    <row r="126" spans="18:24">
      <c r="R126" s="740"/>
      <c r="S126" s="732"/>
      <c r="T126" s="740"/>
      <c r="U126" s="740"/>
      <c r="V126" s="740"/>
      <c r="W126" s="740"/>
      <c r="X126" s="740"/>
    </row>
    <row r="127" spans="18:24">
      <c r="R127" s="740"/>
      <c r="S127" s="732"/>
      <c r="T127" s="740"/>
      <c r="U127" s="740"/>
      <c r="V127" s="740"/>
      <c r="W127" s="740"/>
      <c r="X127" s="740"/>
    </row>
    <row r="128" spans="18:24">
      <c r="R128" s="740"/>
      <c r="S128" s="732"/>
      <c r="T128" s="740"/>
      <c r="U128" s="740"/>
      <c r="V128" s="740"/>
      <c r="W128" s="740"/>
      <c r="X128" s="740"/>
    </row>
    <row r="129" spans="18:24">
      <c r="R129" s="740"/>
      <c r="S129" s="732"/>
      <c r="T129" s="740"/>
      <c r="U129" s="740"/>
      <c r="V129" s="740"/>
      <c r="W129" s="740"/>
      <c r="X129" s="740"/>
    </row>
    <row r="130" spans="18:24">
      <c r="R130" s="740"/>
      <c r="S130" s="732"/>
      <c r="T130" s="740"/>
      <c r="U130" s="740"/>
      <c r="V130" s="740"/>
      <c r="W130" s="740"/>
      <c r="X130" s="740"/>
    </row>
    <row r="131" spans="18:24">
      <c r="R131" s="740"/>
      <c r="S131" s="732"/>
      <c r="T131" s="740"/>
      <c r="U131" s="740"/>
      <c r="V131" s="740"/>
      <c r="W131" s="740"/>
      <c r="X131" s="740"/>
    </row>
    <row r="132" spans="18:24">
      <c r="R132" s="740"/>
      <c r="S132" s="732"/>
      <c r="T132" s="740"/>
      <c r="U132" s="740"/>
      <c r="V132" s="740"/>
      <c r="W132" s="740"/>
      <c r="X132" s="740"/>
    </row>
    <row r="133" spans="18:24">
      <c r="R133" s="740"/>
      <c r="S133" s="732"/>
      <c r="T133" s="740"/>
      <c r="U133" s="740"/>
      <c r="V133" s="740"/>
      <c r="W133" s="740"/>
      <c r="X133" s="740"/>
    </row>
    <row r="134" spans="18:24">
      <c r="R134" s="740"/>
      <c r="S134" s="732"/>
      <c r="T134" s="740"/>
      <c r="U134" s="740"/>
      <c r="V134" s="740"/>
      <c r="W134" s="740"/>
      <c r="X134" s="740"/>
    </row>
    <row r="135" spans="18:24">
      <c r="R135" s="740"/>
      <c r="S135" s="732"/>
      <c r="T135" s="740"/>
      <c r="U135" s="740"/>
      <c r="V135" s="740"/>
      <c r="W135" s="740"/>
      <c r="X135" s="740"/>
    </row>
    <row r="136" spans="18:24">
      <c r="R136" s="740"/>
      <c r="S136" s="732"/>
      <c r="T136" s="740"/>
      <c r="U136" s="740"/>
      <c r="V136" s="740"/>
      <c r="W136" s="740"/>
      <c r="X136" s="740"/>
    </row>
    <row r="137" spans="18:24">
      <c r="R137" s="740"/>
      <c r="S137" s="732"/>
      <c r="T137" s="740"/>
      <c r="U137" s="740"/>
      <c r="V137" s="740"/>
      <c r="W137" s="740"/>
      <c r="X137" s="740"/>
    </row>
    <row r="138" spans="18:24">
      <c r="R138" s="740"/>
      <c r="S138" s="736"/>
      <c r="T138" s="740"/>
      <c r="U138" s="740"/>
      <c r="V138" s="740"/>
      <c r="W138" s="740"/>
      <c r="X138" s="740"/>
    </row>
    <row r="139" spans="18:24">
      <c r="R139" s="740"/>
      <c r="T139" s="740"/>
      <c r="U139" s="740"/>
      <c r="V139" s="740"/>
      <c r="W139" s="740"/>
      <c r="X139" s="740"/>
    </row>
    <row r="140" spans="18:24">
      <c r="R140" s="742"/>
      <c r="S140" s="732"/>
      <c r="T140" s="742"/>
      <c r="U140" s="742"/>
      <c r="V140" s="742"/>
      <c r="W140" s="742"/>
      <c r="X140" s="742"/>
    </row>
    <row r="141" spans="18:24">
      <c r="R141" s="641"/>
      <c r="S141" s="732"/>
      <c r="T141" s="641"/>
      <c r="U141" s="641"/>
      <c r="V141" s="641"/>
      <c r="W141" s="641"/>
      <c r="X141" s="641"/>
    </row>
    <row r="142" spans="18:24">
      <c r="R142" s="740"/>
      <c r="S142" s="732"/>
      <c r="T142" s="740"/>
      <c r="U142" s="740"/>
      <c r="V142" s="740"/>
      <c r="W142" s="740"/>
      <c r="X142" s="740"/>
    </row>
    <row r="143" spans="18:24">
      <c r="R143" s="740"/>
      <c r="S143" s="732"/>
      <c r="T143" s="740"/>
      <c r="U143" s="740"/>
      <c r="V143" s="740"/>
      <c r="W143" s="740"/>
      <c r="X143" s="740"/>
    </row>
    <row r="144" spans="18:24">
      <c r="R144" s="740"/>
      <c r="S144" s="732"/>
      <c r="T144" s="740"/>
      <c r="U144" s="740"/>
      <c r="V144" s="740"/>
      <c r="W144" s="740"/>
      <c r="X144" s="740"/>
    </row>
    <row r="145" spans="18:24">
      <c r="R145" s="740"/>
      <c r="S145" s="732"/>
      <c r="T145" s="740"/>
      <c r="U145" s="740"/>
      <c r="V145" s="740"/>
      <c r="W145" s="740"/>
      <c r="X145" s="740"/>
    </row>
    <row r="146" spans="18:24">
      <c r="R146" s="740"/>
      <c r="S146" s="732"/>
      <c r="T146" s="740"/>
      <c r="U146" s="740"/>
      <c r="V146" s="740"/>
      <c r="W146" s="740"/>
      <c r="X146" s="740"/>
    </row>
    <row r="147" spans="18:24">
      <c r="R147" s="740"/>
      <c r="S147" s="732"/>
      <c r="T147" s="740"/>
      <c r="U147" s="740"/>
      <c r="V147" s="740"/>
      <c r="W147" s="740"/>
      <c r="X147" s="740"/>
    </row>
    <row r="148" spans="18:24">
      <c r="R148" s="740"/>
      <c r="S148" s="732"/>
      <c r="T148" s="740"/>
      <c r="U148" s="740"/>
      <c r="V148" s="740"/>
      <c r="W148" s="740"/>
      <c r="X148" s="740"/>
    </row>
    <row r="149" spans="18:24">
      <c r="R149" s="740"/>
      <c r="S149" s="732"/>
      <c r="T149" s="740"/>
      <c r="U149" s="740"/>
      <c r="V149" s="740"/>
      <c r="W149" s="740"/>
      <c r="X149" s="740"/>
    </row>
    <row r="150" spans="18:24">
      <c r="R150" s="740"/>
      <c r="S150" s="732"/>
      <c r="T150" s="740"/>
      <c r="U150" s="740"/>
      <c r="V150" s="740"/>
      <c r="W150" s="740"/>
      <c r="X150" s="740"/>
    </row>
    <row r="151" spans="18:24">
      <c r="R151" s="740"/>
      <c r="S151" s="732"/>
      <c r="T151" s="740"/>
      <c r="U151" s="740"/>
      <c r="V151" s="740"/>
      <c r="W151" s="740"/>
      <c r="X151" s="740"/>
    </row>
    <row r="152" spans="18:24">
      <c r="R152" s="740"/>
      <c r="S152" s="732"/>
      <c r="T152" s="740"/>
      <c r="U152" s="740"/>
      <c r="V152" s="740"/>
      <c r="W152" s="740"/>
      <c r="X152" s="740"/>
    </row>
    <row r="153" spans="18:24">
      <c r="R153" s="740"/>
      <c r="S153" s="732"/>
      <c r="T153" s="740"/>
      <c r="U153" s="740"/>
      <c r="V153" s="740"/>
      <c r="W153" s="740"/>
      <c r="X153" s="740"/>
    </row>
    <row r="154" spans="18:24">
      <c r="R154" s="740"/>
      <c r="S154" s="732"/>
      <c r="T154" s="740"/>
      <c r="U154" s="740"/>
      <c r="V154" s="740"/>
      <c r="W154" s="740"/>
      <c r="X154" s="740"/>
    </row>
    <row r="155" spans="18:24">
      <c r="R155" s="740"/>
      <c r="S155" s="732"/>
      <c r="T155" s="740"/>
      <c r="U155" s="740"/>
      <c r="V155" s="740"/>
      <c r="W155" s="740"/>
      <c r="X155" s="740"/>
    </row>
    <row r="156" spans="18:24">
      <c r="R156" s="740"/>
      <c r="S156" s="732"/>
      <c r="T156" s="740"/>
      <c r="U156" s="740"/>
      <c r="V156" s="740"/>
      <c r="W156" s="740"/>
      <c r="X156" s="740"/>
    </row>
    <row r="157" spans="18:24">
      <c r="R157" s="740"/>
      <c r="S157" s="732"/>
      <c r="T157" s="740"/>
      <c r="U157" s="740"/>
      <c r="V157" s="740"/>
      <c r="W157" s="740"/>
      <c r="X157" s="740"/>
    </row>
    <row r="158" spans="18:24">
      <c r="R158" s="740"/>
      <c r="S158" s="732"/>
      <c r="T158" s="740"/>
      <c r="U158" s="740"/>
      <c r="V158" s="740"/>
      <c r="W158" s="740"/>
      <c r="X158" s="740"/>
    </row>
    <row r="159" spans="18:24">
      <c r="R159" s="740"/>
      <c r="S159" s="732"/>
      <c r="T159" s="740"/>
      <c r="U159" s="740"/>
      <c r="V159" s="740"/>
      <c r="W159" s="740"/>
      <c r="X159" s="740"/>
    </row>
    <row r="160" spans="18:24">
      <c r="R160" s="740"/>
      <c r="S160" s="736"/>
      <c r="T160" s="740"/>
      <c r="U160" s="740"/>
      <c r="V160" s="740"/>
      <c r="W160" s="740"/>
      <c r="X160" s="740"/>
    </row>
    <row r="161" spans="18:24">
      <c r="R161" s="740"/>
      <c r="T161" s="740"/>
      <c r="U161" s="740"/>
      <c r="V161" s="740"/>
      <c r="W161" s="740"/>
      <c r="X161" s="740"/>
    </row>
    <row r="162" spans="18:24">
      <c r="R162" s="742"/>
      <c r="S162" s="732"/>
      <c r="T162" s="742"/>
      <c r="U162" s="742"/>
      <c r="V162" s="742"/>
      <c r="W162" s="742"/>
      <c r="X162" s="742"/>
    </row>
    <row r="163" spans="18:24">
      <c r="R163" s="641"/>
      <c r="S163" s="732"/>
      <c r="T163" s="641"/>
      <c r="U163" s="641"/>
      <c r="V163" s="641"/>
      <c r="W163" s="641"/>
      <c r="X163" s="641"/>
    </row>
    <row r="164" spans="18:24">
      <c r="R164" s="740"/>
      <c r="S164" s="732"/>
      <c r="T164" s="740"/>
      <c r="U164" s="740"/>
      <c r="V164" s="740"/>
      <c r="W164" s="740"/>
      <c r="X164" s="740"/>
    </row>
    <row r="165" spans="18:24">
      <c r="R165" s="740"/>
      <c r="S165" s="732"/>
      <c r="T165" s="740"/>
      <c r="U165" s="740"/>
      <c r="V165" s="740"/>
      <c r="W165" s="740"/>
      <c r="X165" s="740"/>
    </row>
    <row r="166" spans="18:24">
      <c r="R166" s="740"/>
      <c r="S166" s="732"/>
      <c r="T166" s="740"/>
      <c r="U166" s="740"/>
      <c r="V166" s="740"/>
      <c r="W166" s="740"/>
      <c r="X166" s="740"/>
    </row>
    <row r="167" spans="18:24">
      <c r="R167" s="740"/>
      <c r="S167" s="732"/>
      <c r="T167" s="740"/>
      <c r="U167" s="740"/>
      <c r="V167" s="740"/>
      <c r="W167" s="740"/>
      <c r="X167" s="740"/>
    </row>
    <row r="168" spans="18:24">
      <c r="R168" s="740"/>
      <c r="S168" s="732"/>
      <c r="T168" s="740"/>
      <c r="U168" s="740"/>
      <c r="V168" s="740"/>
      <c r="W168" s="740"/>
      <c r="X168" s="740"/>
    </row>
    <row r="169" spans="18:24">
      <c r="R169" s="740"/>
      <c r="S169" s="732"/>
      <c r="T169" s="740"/>
      <c r="U169" s="740"/>
      <c r="V169" s="740"/>
      <c r="W169" s="740"/>
      <c r="X169" s="740"/>
    </row>
    <row r="170" spans="18:24">
      <c r="R170" s="740"/>
      <c r="S170" s="732"/>
      <c r="T170" s="740"/>
      <c r="U170" s="740"/>
      <c r="V170" s="740"/>
      <c r="W170" s="740"/>
      <c r="X170" s="740"/>
    </row>
    <row r="171" spans="18:24">
      <c r="R171" s="740"/>
      <c r="S171" s="732"/>
      <c r="T171" s="740"/>
      <c r="U171" s="740"/>
      <c r="V171" s="740"/>
      <c r="W171" s="740"/>
      <c r="X171" s="740"/>
    </row>
    <row r="172" spans="18:24">
      <c r="R172" s="740"/>
      <c r="S172" s="732"/>
      <c r="T172" s="740"/>
      <c r="U172" s="740"/>
      <c r="V172" s="740"/>
      <c r="W172" s="740"/>
      <c r="X172" s="740"/>
    </row>
    <row r="173" spans="18:24">
      <c r="R173" s="740"/>
      <c r="S173" s="732"/>
      <c r="T173" s="740"/>
      <c r="U173" s="740"/>
      <c r="V173" s="740"/>
      <c r="W173" s="740"/>
      <c r="X173" s="740"/>
    </row>
    <row r="174" spans="18:24">
      <c r="R174" s="740"/>
      <c r="S174" s="732"/>
      <c r="T174" s="740"/>
      <c r="U174" s="740"/>
      <c r="V174" s="740"/>
      <c r="W174" s="740"/>
      <c r="X174" s="740"/>
    </row>
    <row r="175" spans="18:24">
      <c r="R175" s="740"/>
      <c r="S175" s="732"/>
      <c r="T175" s="740"/>
      <c r="U175" s="740"/>
      <c r="V175" s="740"/>
      <c r="W175" s="740"/>
      <c r="X175" s="740"/>
    </row>
    <row r="176" spans="18:24">
      <c r="R176" s="740"/>
      <c r="S176" s="732"/>
      <c r="T176" s="740"/>
      <c r="U176" s="740"/>
      <c r="V176" s="740"/>
      <c r="W176" s="740"/>
      <c r="X176" s="740"/>
    </row>
    <row r="177" spans="18:24">
      <c r="R177" s="740"/>
      <c r="S177" s="732"/>
      <c r="T177" s="740"/>
      <c r="U177" s="740"/>
      <c r="V177" s="740"/>
      <c r="W177" s="740"/>
      <c r="X177" s="740"/>
    </row>
    <row r="178" spans="18:24">
      <c r="R178" s="740"/>
      <c r="S178" s="732"/>
      <c r="T178" s="740"/>
      <c r="U178" s="740"/>
      <c r="V178" s="740"/>
      <c r="W178" s="740"/>
      <c r="X178" s="740"/>
    </row>
    <row r="179" spans="18:24">
      <c r="R179" s="740"/>
      <c r="S179" s="732"/>
      <c r="T179" s="740"/>
      <c r="U179" s="740"/>
      <c r="V179" s="740"/>
      <c r="W179" s="740"/>
      <c r="X179" s="740"/>
    </row>
    <row r="180" spans="18:24">
      <c r="R180" s="740"/>
      <c r="S180" s="732"/>
      <c r="T180" s="740"/>
      <c r="U180" s="740"/>
      <c r="V180" s="740"/>
      <c r="W180" s="740"/>
      <c r="X180" s="740"/>
    </row>
    <row r="181" spans="18:24">
      <c r="R181" s="740"/>
      <c r="S181" s="732"/>
      <c r="T181" s="740"/>
      <c r="U181" s="740"/>
      <c r="V181" s="740"/>
      <c r="W181" s="740"/>
      <c r="X181" s="740"/>
    </row>
    <row r="182" spans="18:24">
      <c r="R182" s="740"/>
      <c r="S182" s="736"/>
      <c r="T182" s="740"/>
      <c r="U182" s="740"/>
      <c r="V182" s="740"/>
      <c r="W182" s="740"/>
      <c r="X182" s="740"/>
    </row>
    <row r="183" spans="18:24">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Xcw5nsrT7m12SpJmj64PvWuLYjnepI5KR+gQAQcUUl8GTT6xY+JLt1mFU89jArd9dmkvFnoJzBa/MW2KWDS68g==" saltValue="xcFkaNJcF2NriHevNwvdT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3898" priority="2" stopIfTrue="1">
      <formula>$P4&lt;&gt;""</formula>
    </cfRule>
  </conditionalFormatting>
  <conditionalFormatting sqref="AE9:AE39">
    <cfRule type="expression" dxfId="3897" priority="5" stopIfTrue="1">
      <formula>AE9&lt;&gt;""</formula>
    </cfRule>
  </conditionalFormatting>
  <conditionalFormatting sqref="B9:B38">
    <cfRule type="expression" dxfId="3896"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09765625" defaultRowHeight="13"/>
  <cols>
    <col min="1" max="1" width="9.765625E-2" style="2754" customWidth="1"/>
    <col min="2" max="2" width="7.69921875" style="637" customWidth="1"/>
    <col min="3" max="7" width="9.765625E-2" style="2754" customWidth="1"/>
    <col min="8" max="8" width="4.59765625" style="1" customWidth="1"/>
    <col min="9" max="9" width="6.296875" style="1" customWidth="1"/>
    <col min="10" max="10" width="5.8984375" style="1" customWidth="1"/>
    <col min="11" max="11" width="33.296875" style="1" customWidth="1"/>
    <col min="12" max="12" width="17.69921875" style="1" customWidth="1"/>
    <col min="13" max="13" width="9.69921875" style="1" customWidth="1"/>
    <col min="14" max="14" width="8.69921875" style="1" customWidth="1"/>
    <col min="15" max="16" width="14.69921875" style="1" customWidth="1"/>
    <col min="17" max="17" width="7.59765625" style="1" customWidth="1"/>
    <col min="18" max="18" width="7.3984375" style="1" customWidth="1"/>
    <col min="19" max="19" width="8.09765625" style="641" customWidth="1"/>
    <col min="20" max="20" width="9.69921875" style="1" customWidth="1"/>
    <col min="21" max="21" width="6.09765625" style="1" customWidth="1"/>
    <col min="22" max="22" width="9.69921875" style="1" customWidth="1"/>
    <col min="23" max="23" width="12.69921875" style="1" customWidth="1"/>
    <col min="24" max="26" width="9.69921875" style="1" customWidth="1"/>
    <col min="27" max="30" width="9.765625E-2" style="2754" customWidth="1"/>
    <col min="31" max="31" width="25" style="1" customWidth="1"/>
    <col min="32" max="16384" width="9.09765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余江县天骏投资管理有限公司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43864</v>
      </c>
      <c r="P5" s="675" t="s">
        <v>6593</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6601</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7">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7">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7">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7">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7">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7">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7">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7">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7">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7">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7">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7">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7">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7">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7">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7">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7">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7">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7">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7">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7">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7">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7">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7">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7">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7">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7">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7">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7">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7">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7"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c r="R52" s="740"/>
      <c r="S52" s="732"/>
      <c r="T52" s="740"/>
      <c r="U52" s="740"/>
      <c r="V52" s="740"/>
      <c r="W52" s="740"/>
      <c r="X52" s="740"/>
    </row>
    <row r="53" spans="7:24">
      <c r="R53" s="740"/>
      <c r="S53" s="732"/>
      <c r="T53" s="740"/>
      <c r="U53" s="740"/>
      <c r="V53" s="740"/>
      <c r="W53" s="740"/>
      <c r="X53" s="740"/>
    </row>
    <row r="54" spans="7:24">
      <c r="R54" s="740"/>
      <c r="S54" s="732"/>
      <c r="T54" s="740"/>
      <c r="U54" s="740"/>
      <c r="V54" s="740"/>
      <c r="W54" s="740"/>
      <c r="X54" s="740"/>
    </row>
    <row r="55" spans="7:24">
      <c r="R55" s="740"/>
      <c r="S55" s="732"/>
      <c r="T55" s="740"/>
      <c r="U55" s="740"/>
      <c r="V55" s="740"/>
      <c r="W55" s="740"/>
      <c r="X55" s="740"/>
    </row>
    <row r="56" spans="7:24">
      <c r="R56" s="740"/>
      <c r="S56" s="732"/>
      <c r="T56" s="740"/>
      <c r="U56" s="740"/>
      <c r="V56" s="740"/>
      <c r="W56" s="740"/>
      <c r="X56" s="740"/>
    </row>
    <row r="57" spans="7:24">
      <c r="R57" s="740"/>
      <c r="S57" s="732"/>
      <c r="T57" s="740"/>
      <c r="U57" s="740"/>
      <c r="V57" s="740"/>
      <c r="W57" s="740"/>
      <c r="X57" s="740"/>
    </row>
    <row r="58" spans="7:24">
      <c r="R58" s="740"/>
      <c r="S58" s="732"/>
      <c r="T58" s="740"/>
      <c r="U58" s="740"/>
      <c r="V58" s="740"/>
      <c r="W58" s="740"/>
      <c r="X58" s="740"/>
    </row>
    <row r="59" spans="7:24">
      <c r="R59" s="740"/>
      <c r="S59" s="732"/>
      <c r="T59" s="740"/>
      <c r="U59" s="740"/>
      <c r="V59" s="740"/>
      <c r="W59" s="740"/>
      <c r="X59" s="740"/>
    </row>
    <row r="60" spans="7:24">
      <c r="R60" s="740"/>
      <c r="S60" s="732"/>
      <c r="T60" s="740"/>
      <c r="U60" s="740"/>
      <c r="V60" s="740"/>
      <c r="W60" s="740"/>
      <c r="X60" s="740"/>
    </row>
    <row r="61" spans="7:24">
      <c r="R61" s="740"/>
      <c r="S61" s="732"/>
      <c r="T61" s="740"/>
      <c r="U61" s="740"/>
      <c r="V61" s="740"/>
      <c r="W61" s="740"/>
      <c r="X61" s="740"/>
    </row>
    <row r="62" spans="7:24">
      <c r="R62" s="740"/>
      <c r="S62" s="732"/>
      <c r="T62" s="740"/>
      <c r="U62" s="740"/>
      <c r="V62" s="740"/>
      <c r="W62" s="740"/>
      <c r="X62" s="740"/>
    </row>
    <row r="63" spans="7:24">
      <c r="R63" s="740"/>
      <c r="S63" s="732"/>
      <c r="T63" s="740"/>
      <c r="U63" s="740"/>
      <c r="V63" s="740"/>
      <c r="W63" s="740"/>
      <c r="X63" s="740"/>
    </row>
    <row r="64" spans="7:24">
      <c r="R64" s="740"/>
      <c r="S64" s="732"/>
      <c r="T64" s="740"/>
      <c r="U64" s="740"/>
      <c r="V64" s="740"/>
      <c r="W64" s="740"/>
      <c r="X64" s="740"/>
    </row>
    <row r="65" spans="18:24">
      <c r="R65" s="740"/>
      <c r="S65" s="732"/>
      <c r="T65" s="740"/>
      <c r="U65" s="740"/>
      <c r="V65" s="740"/>
      <c r="W65" s="740"/>
      <c r="X65" s="740"/>
    </row>
    <row r="66" spans="18:24">
      <c r="R66" s="740"/>
      <c r="S66" s="732"/>
      <c r="T66" s="740"/>
      <c r="U66" s="740"/>
      <c r="V66" s="740"/>
      <c r="W66" s="740"/>
      <c r="X66" s="740"/>
    </row>
    <row r="67" spans="18:24">
      <c r="R67" s="740"/>
      <c r="S67" s="732"/>
      <c r="T67" s="740"/>
      <c r="U67" s="740"/>
      <c r="V67" s="740"/>
      <c r="W67" s="740"/>
      <c r="X67" s="740"/>
    </row>
    <row r="68" spans="18:24">
      <c r="R68" s="740"/>
      <c r="S68" s="732"/>
      <c r="T68" s="740"/>
      <c r="U68" s="740"/>
      <c r="V68" s="740"/>
      <c r="W68" s="740"/>
      <c r="X68" s="740"/>
    </row>
    <row r="69" spans="18:24">
      <c r="R69" s="740"/>
      <c r="S69" s="732"/>
      <c r="T69" s="740"/>
      <c r="U69" s="740"/>
      <c r="V69" s="740"/>
      <c r="W69" s="740"/>
      <c r="X69" s="740"/>
    </row>
    <row r="70" spans="18:24">
      <c r="R70" s="740"/>
      <c r="S70" s="732"/>
      <c r="T70" s="740"/>
      <c r="U70" s="740"/>
      <c r="V70" s="740"/>
      <c r="W70" s="740"/>
      <c r="X70" s="740"/>
    </row>
    <row r="71" spans="18:24">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c r="R74" s="740"/>
      <c r="S74" s="732"/>
      <c r="T74" s="740"/>
      <c r="U74" s="740"/>
      <c r="V74" s="740"/>
      <c r="W74" s="740"/>
      <c r="X74" s="740"/>
    </row>
    <row r="75" spans="18:24">
      <c r="R75" s="740"/>
      <c r="S75" s="732"/>
      <c r="T75" s="740"/>
      <c r="U75" s="740"/>
      <c r="V75" s="740"/>
      <c r="W75" s="740"/>
      <c r="X75" s="740"/>
    </row>
    <row r="76" spans="18:24">
      <c r="R76" s="740"/>
      <c r="S76" s="732"/>
      <c r="T76" s="740"/>
      <c r="U76" s="740"/>
      <c r="V76" s="740"/>
      <c r="W76" s="740"/>
      <c r="X76" s="740"/>
    </row>
    <row r="77" spans="18:24">
      <c r="R77" s="740"/>
      <c r="S77" s="732"/>
      <c r="T77" s="740"/>
      <c r="U77" s="740"/>
      <c r="V77" s="740"/>
      <c r="W77" s="740"/>
      <c r="X77" s="740"/>
    </row>
    <row r="78" spans="18:24">
      <c r="R78" s="740"/>
      <c r="S78" s="732"/>
      <c r="T78" s="740"/>
      <c r="U78" s="740"/>
      <c r="V78" s="740"/>
      <c r="W78" s="740"/>
      <c r="X78" s="740"/>
    </row>
    <row r="79" spans="18:24">
      <c r="R79" s="740"/>
      <c r="S79" s="732"/>
      <c r="T79" s="740"/>
      <c r="U79" s="740"/>
      <c r="V79" s="740"/>
      <c r="W79" s="740"/>
      <c r="X79" s="740"/>
    </row>
    <row r="80" spans="18:24">
      <c r="R80" s="740"/>
      <c r="S80" s="732"/>
      <c r="T80" s="740"/>
      <c r="U80" s="740"/>
      <c r="V80" s="740"/>
      <c r="W80" s="740"/>
      <c r="X80" s="740"/>
    </row>
    <row r="81" spans="18:24">
      <c r="R81" s="740"/>
      <c r="S81" s="732"/>
      <c r="T81" s="740"/>
      <c r="U81" s="740"/>
      <c r="V81" s="740"/>
      <c r="W81" s="740"/>
      <c r="X81" s="740"/>
    </row>
    <row r="82" spans="18:24">
      <c r="R82" s="740"/>
      <c r="S82" s="732"/>
      <c r="T82" s="740"/>
      <c r="U82" s="740"/>
      <c r="V82" s="740"/>
      <c r="W82" s="740"/>
      <c r="X82" s="740"/>
    </row>
    <row r="83" spans="18:24">
      <c r="R83" s="740"/>
      <c r="S83" s="732"/>
      <c r="T83" s="740"/>
      <c r="U83" s="740"/>
      <c r="V83" s="740"/>
      <c r="W83" s="740"/>
      <c r="X83" s="740"/>
    </row>
    <row r="84" spans="18:24">
      <c r="R84" s="740"/>
      <c r="S84" s="732"/>
      <c r="T84" s="740"/>
      <c r="U84" s="740"/>
      <c r="V84" s="740"/>
      <c r="W84" s="740"/>
      <c r="X84" s="740"/>
    </row>
    <row r="85" spans="18:24">
      <c r="R85" s="740"/>
      <c r="S85" s="732"/>
      <c r="T85" s="740"/>
      <c r="U85" s="740"/>
      <c r="V85" s="740"/>
      <c r="W85" s="740"/>
      <c r="X85" s="740"/>
    </row>
    <row r="86" spans="18:24">
      <c r="R86" s="740"/>
      <c r="S86" s="732"/>
      <c r="T86" s="740"/>
      <c r="U86" s="740"/>
      <c r="V86" s="740"/>
      <c r="W86" s="740"/>
      <c r="X86" s="740"/>
    </row>
    <row r="87" spans="18:24">
      <c r="R87" s="740"/>
      <c r="S87" s="732"/>
      <c r="T87" s="740"/>
      <c r="U87" s="740"/>
      <c r="V87" s="740"/>
      <c r="W87" s="740"/>
      <c r="X87" s="740"/>
    </row>
    <row r="88" spans="18:24">
      <c r="R88" s="740"/>
      <c r="S88" s="732"/>
      <c r="T88" s="740"/>
      <c r="U88" s="740"/>
      <c r="V88" s="740"/>
      <c r="W88" s="740"/>
      <c r="X88" s="740"/>
    </row>
    <row r="89" spans="18:24">
      <c r="R89" s="740"/>
      <c r="S89" s="732"/>
      <c r="T89" s="740"/>
      <c r="U89" s="740"/>
      <c r="V89" s="740"/>
      <c r="W89" s="740"/>
      <c r="X89" s="740"/>
    </row>
    <row r="90" spans="18:24">
      <c r="R90" s="740"/>
      <c r="S90" s="732"/>
      <c r="T90" s="740"/>
      <c r="U90" s="740"/>
      <c r="V90" s="740"/>
      <c r="W90" s="740"/>
      <c r="X90" s="740"/>
    </row>
    <row r="91" spans="18:24">
      <c r="R91" s="740"/>
      <c r="S91" s="732"/>
      <c r="T91" s="740"/>
      <c r="U91" s="740"/>
      <c r="V91" s="740"/>
      <c r="W91" s="740"/>
      <c r="X91" s="740"/>
    </row>
    <row r="92" spans="18:24">
      <c r="R92" s="740"/>
      <c r="S92" s="732"/>
      <c r="T92" s="740"/>
      <c r="U92" s="740"/>
      <c r="V92" s="740"/>
      <c r="W92" s="740"/>
      <c r="X92" s="740"/>
    </row>
    <row r="93" spans="18:24">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c r="R96" s="740"/>
      <c r="S96" s="732"/>
      <c r="T96" s="740"/>
      <c r="U96" s="740"/>
      <c r="V96" s="740"/>
      <c r="W96" s="740"/>
      <c r="X96" s="740"/>
    </row>
    <row r="97" spans="18:24">
      <c r="R97" s="740"/>
      <c r="S97" s="732"/>
      <c r="T97" s="740"/>
      <c r="U97" s="740"/>
      <c r="V97" s="740"/>
      <c r="W97" s="740"/>
      <c r="X97" s="740"/>
    </row>
    <row r="98" spans="18:24">
      <c r="R98" s="740"/>
      <c r="S98" s="732"/>
      <c r="T98" s="740"/>
      <c r="U98" s="740"/>
      <c r="V98" s="740"/>
      <c r="W98" s="740"/>
      <c r="X98" s="740"/>
    </row>
    <row r="99" spans="18:24">
      <c r="R99" s="740"/>
      <c r="S99" s="732"/>
      <c r="T99" s="740"/>
      <c r="U99" s="740"/>
      <c r="V99" s="740"/>
      <c r="W99" s="740"/>
      <c r="X99" s="740"/>
    </row>
    <row r="100" spans="18:24">
      <c r="R100" s="740"/>
      <c r="S100" s="732"/>
      <c r="T100" s="740"/>
      <c r="U100" s="740"/>
      <c r="V100" s="740"/>
      <c r="W100" s="740"/>
      <c r="X100" s="740"/>
    </row>
    <row r="101" spans="18:24">
      <c r="R101" s="740"/>
      <c r="S101" s="732"/>
      <c r="T101" s="740"/>
      <c r="U101" s="740"/>
      <c r="V101" s="740"/>
      <c r="W101" s="740"/>
      <c r="X101" s="740"/>
    </row>
    <row r="102" spans="18:24">
      <c r="R102" s="740"/>
      <c r="S102" s="732"/>
      <c r="T102" s="740"/>
      <c r="U102" s="740"/>
      <c r="V102" s="740"/>
      <c r="W102" s="740"/>
      <c r="X102" s="740"/>
    </row>
    <row r="103" spans="18:24">
      <c r="R103" s="740"/>
      <c r="S103" s="732"/>
      <c r="T103" s="740"/>
      <c r="U103" s="740"/>
      <c r="V103" s="740"/>
      <c r="W103" s="740"/>
      <c r="X103" s="740"/>
    </row>
    <row r="104" spans="18:24">
      <c r="R104" s="740"/>
      <c r="S104" s="732"/>
      <c r="T104" s="740"/>
      <c r="U104" s="740"/>
      <c r="V104" s="740"/>
      <c r="W104" s="740"/>
      <c r="X104" s="740"/>
    </row>
    <row r="105" spans="18:24">
      <c r="R105" s="740"/>
      <c r="S105" s="732"/>
      <c r="T105" s="740"/>
      <c r="U105" s="740"/>
      <c r="V105" s="740"/>
      <c r="W105" s="740"/>
      <c r="X105" s="740"/>
    </row>
    <row r="106" spans="18:24">
      <c r="R106" s="740"/>
      <c r="S106" s="732"/>
      <c r="T106" s="740"/>
      <c r="U106" s="740"/>
      <c r="V106" s="740"/>
      <c r="W106" s="740"/>
      <c r="X106" s="740"/>
    </row>
    <row r="107" spans="18:24">
      <c r="R107" s="740"/>
      <c r="S107" s="732"/>
      <c r="T107" s="740"/>
      <c r="U107" s="740"/>
      <c r="V107" s="740"/>
      <c r="W107" s="740"/>
      <c r="X107" s="740"/>
    </row>
    <row r="108" spans="18:24">
      <c r="R108" s="740"/>
      <c r="S108" s="732"/>
      <c r="T108" s="740"/>
      <c r="U108" s="740"/>
      <c r="V108" s="740"/>
      <c r="W108" s="740"/>
      <c r="X108" s="740"/>
    </row>
    <row r="109" spans="18:24">
      <c r="R109" s="740"/>
      <c r="S109" s="732"/>
      <c r="T109" s="740"/>
      <c r="U109" s="740"/>
      <c r="V109" s="740"/>
      <c r="W109" s="740"/>
      <c r="X109" s="740"/>
    </row>
    <row r="110" spans="18:24">
      <c r="R110" s="740"/>
      <c r="S110" s="732"/>
      <c r="T110" s="740"/>
      <c r="U110" s="740"/>
      <c r="V110" s="740"/>
      <c r="W110" s="740"/>
      <c r="X110" s="740"/>
    </row>
    <row r="111" spans="18:24">
      <c r="R111" s="740"/>
      <c r="S111" s="732"/>
      <c r="T111" s="740"/>
      <c r="U111" s="740"/>
      <c r="V111" s="740"/>
      <c r="W111" s="740"/>
      <c r="X111" s="740"/>
    </row>
    <row r="112" spans="18:24">
      <c r="R112" s="740"/>
      <c r="S112" s="732"/>
      <c r="T112" s="740"/>
      <c r="U112" s="740"/>
      <c r="V112" s="740"/>
      <c r="W112" s="740"/>
      <c r="X112" s="740"/>
    </row>
    <row r="113" spans="18:24">
      <c r="R113" s="740"/>
      <c r="S113" s="732"/>
      <c r="T113" s="740"/>
      <c r="U113" s="740"/>
      <c r="V113" s="740"/>
      <c r="W113" s="740"/>
      <c r="X113" s="740"/>
    </row>
    <row r="114" spans="18:24">
      <c r="R114" s="740"/>
      <c r="S114" s="732"/>
      <c r="T114" s="740"/>
      <c r="U114" s="740"/>
      <c r="V114" s="740"/>
      <c r="W114" s="740"/>
      <c r="X114" s="740"/>
    </row>
    <row r="115" spans="18:24">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c r="R118" s="740"/>
      <c r="S118" s="732"/>
      <c r="T118" s="740"/>
      <c r="U118" s="740"/>
      <c r="V118" s="740"/>
      <c r="W118" s="740"/>
      <c r="X118" s="740"/>
    </row>
    <row r="119" spans="18:24">
      <c r="R119" s="740"/>
      <c r="S119" s="732"/>
      <c r="T119" s="740"/>
      <c r="U119" s="740"/>
      <c r="V119" s="740"/>
      <c r="W119" s="740"/>
      <c r="X119" s="740"/>
    </row>
    <row r="120" spans="18:24">
      <c r="R120" s="740"/>
      <c r="S120" s="732"/>
      <c r="T120" s="740"/>
      <c r="U120" s="740"/>
      <c r="V120" s="740"/>
      <c r="W120" s="740"/>
      <c r="X120" s="740"/>
    </row>
    <row r="121" spans="18:24">
      <c r="R121" s="740"/>
      <c r="S121" s="732"/>
      <c r="T121" s="740"/>
      <c r="U121" s="740"/>
      <c r="V121" s="740"/>
      <c r="W121" s="740"/>
      <c r="X121" s="740"/>
    </row>
    <row r="122" spans="18:24">
      <c r="R122" s="740"/>
      <c r="S122" s="732"/>
      <c r="T122" s="740"/>
      <c r="U122" s="740"/>
      <c r="V122" s="740"/>
      <c r="W122" s="740"/>
      <c r="X122" s="740"/>
    </row>
    <row r="123" spans="18:24">
      <c r="R123" s="740"/>
      <c r="S123" s="732"/>
      <c r="T123" s="740"/>
      <c r="U123" s="740"/>
      <c r="V123" s="740"/>
      <c r="W123" s="740"/>
      <c r="X123" s="740"/>
    </row>
    <row r="124" spans="18:24">
      <c r="R124" s="740"/>
      <c r="S124" s="732"/>
      <c r="T124" s="740"/>
      <c r="U124" s="740"/>
      <c r="V124" s="740"/>
      <c r="W124" s="740"/>
      <c r="X124" s="740"/>
    </row>
    <row r="125" spans="18:24">
      <c r="R125" s="740"/>
      <c r="S125" s="732"/>
      <c r="T125" s="740"/>
      <c r="U125" s="740"/>
      <c r="V125" s="740"/>
      <c r="W125" s="740"/>
      <c r="X125" s="740"/>
    </row>
    <row r="126" spans="18:24">
      <c r="R126" s="740"/>
      <c r="S126" s="732"/>
      <c r="T126" s="740"/>
      <c r="U126" s="740"/>
      <c r="V126" s="740"/>
      <c r="W126" s="740"/>
      <c r="X126" s="740"/>
    </row>
    <row r="127" spans="18:24">
      <c r="R127" s="740"/>
      <c r="S127" s="732"/>
      <c r="T127" s="740"/>
      <c r="U127" s="740"/>
      <c r="V127" s="740"/>
      <c r="W127" s="740"/>
      <c r="X127" s="740"/>
    </row>
    <row r="128" spans="18:24">
      <c r="R128" s="740"/>
      <c r="S128" s="732"/>
      <c r="T128" s="740"/>
      <c r="U128" s="740"/>
      <c r="V128" s="740"/>
      <c r="W128" s="740"/>
      <c r="X128" s="740"/>
    </row>
    <row r="129" spans="18:24">
      <c r="R129" s="740"/>
      <c r="S129" s="732"/>
      <c r="T129" s="740"/>
      <c r="U129" s="740"/>
      <c r="V129" s="740"/>
      <c r="W129" s="740"/>
      <c r="X129" s="740"/>
    </row>
    <row r="130" spans="18:24">
      <c r="R130" s="740"/>
      <c r="S130" s="732"/>
      <c r="T130" s="740"/>
      <c r="U130" s="740"/>
      <c r="V130" s="740"/>
      <c r="W130" s="740"/>
      <c r="X130" s="740"/>
    </row>
    <row r="131" spans="18:24">
      <c r="R131" s="740"/>
      <c r="S131" s="732"/>
      <c r="T131" s="740"/>
      <c r="U131" s="740"/>
      <c r="V131" s="740"/>
      <c r="W131" s="740"/>
      <c r="X131" s="740"/>
    </row>
    <row r="132" spans="18:24">
      <c r="R132" s="740"/>
      <c r="S132" s="732"/>
      <c r="T132" s="740"/>
      <c r="U132" s="740"/>
      <c r="V132" s="740"/>
      <c r="W132" s="740"/>
      <c r="X132" s="740"/>
    </row>
    <row r="133" spans="18:24">
      <c r="R133" s="740"/>
      <c r="S133" s="732"/>
      <c r="T133" s="740"/>
      <c r="U133" s="740"/>
      <c r="V133" s="740"/>
      <c r="W133" s="740"/>
      <c r="X133" s="740"/>
    </row>
    <row r="134" spans="18:24">
      <c r="R134" s="740"/>
      <c r="S134" s="732"/>
      <c r="T134" s="740"/>
      <c r="U134" s="740"/>
      <c r="V134" s="740"/>
      <c r="W134" s="740"/>
      <c r="X134" s="740"/>
    </row>
    <row r="135" spans="18:24">
      <c r="R135" s="740"/>
      <c r="S135" s="732"/>
      <c r="T135" s="740"/>
      <c r="U135" s="740"/>
      <c r="V135" s="740"/>
      <c r="W135" s="740"/>
      <c r="X135" s="740"/>
    </row>
    <row r="136" spans="18:24">
      <c r="R136" s="740"/>
      <c r="S136" s="732"/>
      <c r="T136" s="740"/>
      <c r="U136" s="740"/>
      <c r="V136" s="740"/>
      <c r="W136" s="740"/>
      <c r="X136" s="740"/>
    </row>
    <row r="137" spans="18:24">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c r="R140" s="740"/>
      <c r="S140" s="732"/>
      <c r="T140" s="740"/>
      <c r="U140" s="740"/>
      <c r="V140" s="740"/>
      <c r="W140" s="740"/>
      <c r="X140" s="740"/>
    </row>
    <row r="141" spans="18:24">
      <c r="R141" s="740"/>
      <c r="S141" s="732"/>
      <c r="T141" s="740"/>
      <c r="U141" s="740"/>
      <c r="V141" s="740"/>
      <c r="W141" s="740"/>
      <c r="X141" s="740"/>
    </row>
    <row r="142" spans="18:24">
      <c r="R142" s="740"/>
      <c r="S142" s="732"/>
      <c r="T142" s="740"/>
      <c r="U142" s="740"/>
      <c r="V142" s="740"/>
      <c r="W142" s="740"/>
      <c r="X142" s="740"/>
    </row>
    <row r="143" spans="18:24">
      <c r="R143" s="740"/>
      <c r="S143" s="732"/>
      <c r="T143" s="740"/>
      <c r="U143" s="740"/>
      <c r="V143" s="740"/>
      <c r="W143" s="740"/>
      <c r="X143" s="740"/>
    </row>
    <row r="144" spans="18:24">
      <c r="R144" s="740"/>
      <c r="S144" s="732"/>
      <c r="T144" s="740"/>
      <c r="U144" s="740"/>
      <c r="V144" s="740"/>
      <c r="W144" s="740"/>
      <c r="X144" s="740"/>
    </row>
    <row r="145" spans="18:24">
      <c r="R145" s="740"/>
      <c r="S145" s="732"/>
      <c r="T145" s="740"/>
      <c r="U145" s="740"/>
      <c r="V145" s="740"/>
      <c r="W145" s="740"/>
      <c r="X145" s="740"/>
    </row>
    <row r="146" spans="18:24">
      <c r="R146" s="740"/>
      <c r="S146" s="732"/>
      <c r="T146" s="740"/>
      <c r="U146" s="740"/>
      <c r="V146" s="740"/>
      <c r="W146" s="740"/>
      <c r="X146" s="740"/>
    </row>
    <row r="147" spans="18:24">
      <c r="R147" s="740"/>
      <c r="S147" s="732"/>
      <c r="T147" s="740"/>
      <c r="U147" s="740"/>
      <c r="V147" s="740"/>
      <c r="W147" s="740"/>
      <c r="X147" s="740"/>
    </row>
    <row r="148" spans="18:24">
      <c r="R148" s="740"/>
      <c r="S148" s="732"/>
      <c r="T148" s="740"/>
      <c r="U148" s="740"/>
      <c r="V148" s="740"/>
      <c r="W148" s="740"/>
      <c r="X148" s="740"/>
    </row>
    <row r="149" spans="18:24">
      <c r="R149" s="740"/>
      <c r="S149" s="732"/>
      <c r="T149" s="740"/>
      <c r="U149" s="740"/>
      <c r="V149" s="740"/>
      <c r="W149" s="740"/>
      <c r="X149" s="740"/>
    </row>
    <row r="150" spans="18:24">
      <c r="R150" s="740"/>
      <c r="S150" s="732"/>
      <c r="T150" s="740"/>
      <c r="U150" s="740"/>
      <c r="V150" s="740"/>
      <c r="W150" s="740"/>
      <c r="X150" s="740"/>
    </row>
    <row r="151" spans="18:24">
      <c r="R151" s="740"/>
      <c r="S151" s="732"/>
      <c r="T151" s="740"/>
      <c r="U151" s="740"/>
      <c r="V151" s="740"/>
      <c r="W151" s="740"/>
      <c r="X151" s="740"/>
    </row>
    <row r="152" spans="18:24">
      <c r="R152" s="740"/>
      <c r="S152" s="732"/>
      <c r="T152" s="740"/>
      <c r="U152" s="740"/>
      <c r="V152" s="740"/>
      <c r="W152" s="740"/>
      <c r="X152" s="740"/>
    </row>
    <row r="153" spans="18:24">
      <c r="R153" s="740"/>
      <c r="S153" s="732"/>
      <c r="T153" s="740"/>
      <c r="U153" s="740"/>
      <c r="V153" s="740"/>
      <c r="W153" s="740"/>
      <c r="X153" s="740"/>
    </row>
    <row r="154" spans="18:24">
      <c r="R154" s="740"/>
      <c r="S154" s="732"/>
      <c r="T154" s="740"/>
      <c r="U154" s="740"/>
      <c r="V154" s="740"/>
      <c r="W154" s="740"/>
      <c r="X154" s="740"/>
    </row>
    <row r="155" spans="18:24">
      <c r="R155" s="740"/>
      <c r="S155" s="732"/>
      <c r="T155" s="740"/>
      <c r="U155" s="740"/>
      <c r="V155" s="740"/>
      <c r="W155" s="740"/>
      <c r="X155" s="740"/>
    </row>
    <row r="156" spans="18:24">
      <c r="R156" s="740"/>
      <c r="S156" s="732"/>
      <c r="T156" s="740"/>
      <c r="U156" s="740"/>
      <c r="V156" s="740"/>
      <c r="W156" s="740"/>
      <c r="X156" s="740"/>
    </row>
    <row r="157" spans="18:24">
      <c r="R157" s="740"/>
      <c r="S157" s="732"/>
      <c r="T157" s="740"/>
      <c r="U157" s="740"/>
      <c r="V157" s="740"/>
      <c r="W157" s="740"/>
      <c r="X157" s="740"/>
    </row>
    <row r="158" spans="18:24">
      <c r="R158" s="740"/>
      <c r="S158" s="732"/>
      <c r="T158" s="740"/>
      <c r="U158" s="740"/>
      <c r="V158" s="740"/>
      <c r="W158" s="740"/>
      <c r="X158" s="740"/>
    </row>
    <row r="159" spans="18:24">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c r="R162" s="740"/>
      <c r="S162" s="732"/>
      <c r="T162" s="740"/>
      <c r="U162" s="740"/>
      <c r="V162" s="740"/>
      <c r="W162" s="740"/>
      <c r="X162" s="740"/>
    </row>
    <row r="163" spans="18:24">
      <c r="R163" s="740"/>
      <c r="S163" s="732"/>
      <c r="T163" s="740"/>
      <c r="U163" s="740"/>
      <c r="V163" s="740"/>
      <c r="W163" s="740"/>
      <c r="X163" s="740"/>
    </row>
    <row r="164" spans="18:24">
      <c r="R164" s="740"/>
      <c r="S164" s="732"/>
      <c r="T164" s="740"/>
      <c r="U164" s="740"/>
      <c r="V164" s="740"/>
      <c r="W164" s="740"/>
      <c r="X164" s="740"/>
    </row>
    <row r="165" spans="18:24">
      <c r="R165" s="740"/>
      <c r="S165" s="732"/>
      <c r="T165" s="740"/>
      <c r="U165" s="740"/>
      <c r="V165" s="740"/>
      <c r="W165" s="740"/>
      <c r="X165" s="740"/>
    </row>
    <row r="166" spans="18:24">
      <c r="R166" s="740"/>
      <c r="S166" s="732"/>
      <c r="T166" s="740"/>
      <c r="U166" s="740"/>
      <c r="V166" s="740"/>
      <c r="W166" s="740"/>
      <c r="X166" s="740"/>
    </row>
    <row r="167" spans="18:24">
      <c r="R167" s="740"/>
      <c r="S167" s="732"/>
      <c r="T167" s="740"/>
      <c r="U167" s="740"/>
      <c r="V167" s="740"/>
      <c r="W167" s="740"/>
      <c r="X167" s="740"/>
    </row>
    <row r="168" spans="18:24">
      <c r="R168" s="740"/>
      <c r="S168" s="732"/>
      <c r="T168" s="740"/>
      <c r="U168" s="740"/>
      <c r="V168" s="740"/>
      <c r="W168" s="740"/>
      <c r="X168" s="740"/>
    </row>
    <row r="169" spans="18:24">
      <c r="R169" s="740"/>
      <c r="S169" s="732"/>
      <c r="T169" s="740"/>
      <c r="U169" s="740"/>
      <c r="V169" s="740"/>
      <c r="W169" s="740"/>
      <c r="X169" s="740"/>
    </row>
    <row r="170" spans="18:24">
      <c r="R170" s="740"/>
      <c r="S170" s="732"/>
      <c r="T170" s="740"/>
      <c r="U170" s="740"/>
      <c r="V170" s="740"/>
      <c r="W170" s="740"/>
      <c r="X170" s="740"/>
    </row>
    <row r="171" spans="18:24">
      <c r="R171" s="740"/>
      <c r="S171" s="732"/>
      <c r="T171" s="740"/>
      <c r="U171" s="740"/>
      <c r="V171" s="740"/>
      <c r="W171" s="740"/>
      <c r="X171" s="740"/>
    </row>
    <row r="172" spans="18:24">
      <c r="R172" s="740"/>
      <c r="S172" s="732"/>
      <c r="T172" s="740"/>
      <c r="U172" s="740"/>
      <c r="V172" s="740"/>
      <c r="W172" s="740"/>
      <c r="X172" s="740"/>
    </row>
    <row r="173" spans="18:24">
      <c r="R173" s="740"/>
      <c r="S173" s="732"/>
      <c r="T173" s="740"/>
      <c r="U173" s="740"/>
      <c r="V173" s="740"/>
      <c r="W173" s="740"/>
      <c r="X173" s="740"/>
    </row>
    <row r="174" spans="18:24">
      <c r="R174" s="740"/>
      <c r="S174" s="732"/>
      <c r="T174" s="740"/>
      <c r="U174" s="740"/>
      <c r="V174" s="740"/>
      <c r="W174" s="740"/>
      <c r="X174" s="740"/>
    </row>
    <row r="175" spans="18:24">
      <c r="R175" s="740"/>
      <c r="S175" s="732"/>
      <c r="T175" s="740"/>
      <c r="U175" s="740"/>
      <c r="V175" s="740"/>
      <c r="W175" s="740"/>
      <c r="X175" s="740"/>
    </row>
    <row r="176" spans="18:24">
      <c r="R176" s="740"/>
      <c r="S176" s="732"/>
      <c r="T176" s="740"/>
      <c r="U176" s="740"/>
      <c r="V176" s="740"/>
      <c r="W176" s="740"/>
      <c r="X176" s="740"/>
    </row>
    <row r="177" spans="18:24">
      <c r="R177" s="740"/>
      <c r="S177" s="732"/>
      <c r="T177" s="740"/>
      <c r="U177" s="740"/>
      <c r="V177" s="740"/>
      <c r="W177" s="740"/>
      <c r="X177" s="740"/>
    </row>
    <row r="178" spans="18:24">
      <c r="R178" s="740"/>
      <c r="S178" s="732"/>
      <c r="T178" s="740"/>
      <c r="U178" s="740"/>
      <c r="V178" s="740"/>
      <c r="W178" s="740"/>
      <c r="X178" s="740"/>
    </row>
    <row r="179" spans="18:24">
      <c r="R179" s="740"/>
      <c r="S179" s="732"/>
      <c r="T179" s="740"/>
      <c r="U179" s="740"/>
      <c r="V179" s="740"/>
      <c r="W179" s="740"/>
      <c r="X179" s="740"/>
    </row>
    <row r="180" spans="18:24">
      <c r="R180" s="740"/>
      <c r="S180" s="732"/>
      <c r="T180" s="740"/>
      <c r="U180" s="740"/>
      <c r="V180" s="740"/>
      <c r="W180" s="740"/>
      <c r="X180" s="740"/>
    </row>
    <row r="181" spans="18:24">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3895" priority="2" stopIfTrue="1">
      <formula>$P4&lt;&gt;""</formula>
    </cfRule>
  </conditionalFormatting>
  <conditionalFormatting sqref="AE9:AE39">
    <cfRule type="expression" dxfId="3894" priority="11" stopIfTrue="1">
      <formula>AE9&lt;&gt;""</formula>
    </cfRule>
  </conditionalFormatting>
  <conditionalFormatting sqref="B9:B38">
    <cfRule type="expression" dxfId="3893"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3"/>
  <cols>
    <col min="1" max="4" width="9.765625E-2" style="2797" customWidth="1"/>
    <col min="5" max="5" width="35.69921875" style="1665" customWidth="1"/>
    <col min="6" max="6" width="8.69921875" style="1665" customWidth="1"/>
    <col min="7" max="8" width="18.69921875" style="1665" customWidth="1"/>
    <col min="9" max="9" width="35.69921875" style="1665" customWidth="1"/>
    <col min="10" max="10" width="8.69921875" style="1665" customWidth="1"/>
    <col min="11" max="12" width="18.69921875" style="1665" customWidth="1"/>
    <col min="13" max="13" width="15.69921875" style="1665" customWidth="1"/>
    <col min="14" max="256" width="9.09765625" style="1665"/>
    <col min="257" max="260" width="9.765625E-2" style="1665" customWidth="1"/>
    <col min="261" max="261" width="35.69921875" style="1665" customWidth="1"/>
    <col min="262" max="262" width="8.69921875" style="1665" customWidth="1"/>
    <col min="263" max="264" width="18.69921875" style="1665" customWidth="1"/>
    <col min="265" max="265" width="35.69921875" style="1665" customWidth="1"/>
    <col min="266" max="266" width="8.69921875" style="1665" customWidth="1"/>
    <col min="267" max="268" width="18.69921875" style="1665" customWidth="1"/>
    <col min="269" max="269" width="15.69921875" style="1665" customWidth="1"/>
    <col min="270" max="512" width="9.09765625" style="1665"/>
    <col min="513" max="516" width="9.765625E-2" style="1665" customWidth="1"/>
    <col min="517" max="517" width="35.69921875" style="1665" customWidth="1"/>
    <col min="518" max="518" width="8.69921875" style="1665" customWidth="1"/>
    <col min="519" max="520" width="18.69921875" style="1665" customWidth="1"/>
    <col min="521" max="521" width="35.69921875" style="1665" customWidth="1"/>
    <col min="522" max="522" width="8.69921875" style="1665" customWidth="1"/>
    <col min="523" max="524" width="18.69921875" style="1665" customWidth="1"/>
    <col min="525" max="525" width="15.69921875" style="1665" customWidth="1"/>
    <col min="526" max="768" width="9.09765625" style="1665"/>
    <col min="769" max="772" width="9.765625E-2" style="1665" customWidth="1"/>
    <col min="773" max="773" width="35.69921875" style="1665" customWidth="1"/>
    <col min="774" max="774" width="8.69921875" style="1665" customWidth="1"/>
    <col min="775" max="776" width="18.69921875" style="1665" customWidth="1"/>
    <col min="777" max="777" width="35.69921875" style="1665" customWidth="1"/>
    <col min="778" max="778" width="8.69921875" style="1665" customWidth="1"/>
    <col min="779" max="780" width="18.69921875" style="1665" customWidth="1"/>
    <col min="781" max="781" width="15.69921875" style="1665" customWidth="1"/>
    <col min="782" max="1024" width="9.09765625" style="1665"/>
    <col min="1025" max="1028" width="9.765625E-2" style="1665" customWidth="1"/>
    <col min="1029" max="1029" width="35.69921875" style="1665" customWidth="1"/>
    <col min="1030" max="1030" width="8.69921875" style="1665" customWidth="1"/>
    <col min="1031" max="1032" width="18.69921875" style="1665" customWidth="1"/>
    <col min="1033" max="1033" width="35.69921875" style="1665" customWidth="1"/>
    <col min="1034" max="1034" width="8.69921875" style="1665" customWidth="1"/>
    <col min="1035" max="1036" width="18.69921875" style="1665" customWidth="1"/>
    <col min="1037" max="1037" width="15.69921875" style="1665" customWidth="1"/>
    <col min="1038" max="1280" width="9.09765625" style="1665"/>
    <col min="1281" max="1284" width="9.765625E-2" style="1665" customWidth="1"/>
    <col min="1285" max="1285" width="35.69921875" style="1665" customWidth="1"/>
    <col min="1286" max="1286" width="8.69921875" style="1665" customWidth="1"/>
    <col min="1287" max="1288" width="18.69921875" style="1665" customWidth="1"/>
    <col min="1289" max="1289" width="35.69921875" style="1665" customWidth="1"/>
    <col min="1290" max="1290" width="8.69921875" style="1665" customWidth="1"/>
    <col min="1291" max="1292" width="18.69921875" style="1665" customWidth="1"/>
    <col min="1293" max="1293" width="15.69921875" style="1665" customWidth="1"/>
    <col min="1294" max="1536" width="9.09765625" style="1665"/>
    <col min="1537" max="1540" width="9.765625E-2" style="1665" customWidth="1"/>
    <col min="1541" max="1541" width="35.69921875" style="1665" customWidth="1"/>
    <col min="1542" max="1542" width="8.69921875" style="1665" customWidth="1"/>
    <col min="1543" max="1544" width="18.69921875" style="1665" customWidth="1"/>
    <col min="1545" max="1545" width="35.69921875" style="1665" customWidth="1"/>
    <col min="1546" max="1546" width="8.69921875" style="1665" customWidth="1"/>
    <col min="1547" max="1548" width="18.69921875" style="1665" customWidth="1"/>
    <col min="1549" max="1549" width="15.69921875" style="1665" customWidth="1"/>
    <col min="1550" max="1792" width="9.09765625" style="1665"/>
    <col min="1793" max="1796" width="9.765625E-2" style="1665" customWidth="1"/>
    <col min="1797" max="1797" width="35.69921875" style="1665" customWidth="1"/>
    <col min="1798" max="1798" width="8.69921875" style="1665" customWidth="1"/>
    <col min="1799" max="1800" width="18.69921875" style="1665" customWidth="1"/>
    <col min="1801" max="1801" width="35.69921875" style="1665" customWidth="1"/>
    <col min="1802" max="1802" width="8.69921875" style="1665" customWidth="1"/>
    <col min="1803" max="1804" width="18.69921875" style="1665" customWidth="1"/>
    <col min="1805" max="1805" width="15.69921875" style="1665" customWidth="1"/>
    <col min="1806" max="2048" width="9.09765625" style="1665"/>
    <col min="2049" max="2052" width="9.765625E-2" style="1665" customWidth="1"/>
    <col min="2053" max="2053" width="35.69921875" style="1665" customWidth="1"/>
    <col min="2054" max="2054" width="8.69921875" style="1665" customWidth="1"/>
    <col min="2055" max="2056" width="18.69921875" style="1665" customWidth="1"/>
    <col min="2057" max="2057" width="35.69921875" style="1665" customWidth="1"/>
    <col min="2058" max="2058" width="8.69921875" style="1665" customWidth="1"/>
    <col min="2059" max="2060" width="18.69921875" style="1665" customWidth="1"/>
    <col min="2061" max="2061" width="15.69921875" style="1665" customWidth="1"/>
    <col min="2062" max="2304" width="9.09765625" style="1665"/>
    <col min="2305" max="2308" width="9.765625E-2" style="1665" customWidth="1"/>
    <col min="2309" max="2309" width="35.69921875" style="1665" customWidth="1"/>
    <col min="2310" max="2310" width="8.69921875" style="1665" customWidth="1"/>
    <col min="2311" max="2312" width="18.69921875" style="1665" customWidth="1"/>
    <col min="2313" max="2313" width="35.69921875" style="1665" customWidth="1"/>
    <col min="2314" max="2314" width="8.69921875" style="1665" customWidth="1"/>
    <col min="2315" max="2316" width="18.69921875" style="1665" customWidth="1"/>
    <col min="2317" max="2317" width="15.69921875" style="1665" customWidth="1"/>
    <col min="2318" max="2560" width="9.09765625" style="1665"/>
    <col min="2561" max="2564" width="9.765625E-2" style="1665" customWidth="1"/>
    <col min="2565" max="2565" width="35.69921875" style="1665" customWidth="1"/>
    <col min="2566" max="2566" width="8.69921875" style="1665" customWidth="1"/>
    <col min="2567" max="2568" width="18.69921875" style="1665" customWidth="1"/>
    <col min="2569" max="2569" width="35.69921875" style="1665" customWidth="1"/>
    <col min="2570" max="2570" width="8.69921875" style="1665" customWidth="1"/>
    <col min="2571" max="2572" width="18.69921875" style="1665" customWidth="1"/>
    <col min="2573" max="2573" width="15.69921875" style="1665" customWidth="1"/>
    <col min="2574" max="2816" width="9.09765625" style="1665"/>
    <col min="2817" max="2820" width="9.765625E-2" style="1665" customWidth="1"/>
    <col min="2821" max="2821" width="35.69921875" style="1665" customWidth="1"/>
    <col min="2822" max="2822" width="8.69921875" style="1665" customWidth="1"/>
    <col min="2823" max="2824" width="18.69921875" style="1665" customWidth="1"/>
    <col min="2825" max="2825" width="35.69921875" style="1665" customWidth="1"/>
    <col min="2826" max="2826" width="8.69921875" style="1665" customWidth="1"/>
    <col min="2827" max="2828" width="18.69921875" style="1665" customWidth="1"/>
    <col min="2829" max="2829" width="15.69921875" style="1665" customWidth="1"/>
    <col min="2830" max="3072" width="9.09765625" style="1665"/>
    <col min="3073" max="3076" width="9.765625E-2" style="1665" customWidth="1"/>
    <col min="3077" max="3077" width="35.69921875" style="1665" customWidth="1"/>
    <col min="3078" max="3078" width="8.69921875" style="1665" customWidth="1"/>
    <col min="3079" max="3080" width="18.69921875" style="1665" customWidth="1"/>
    <col min="3081" max="3081" width="35.69921875" style="1665" customWidth="1"/>
    <col min="3082" max="3082" width="8.69921875" style="1665" customWidth="1"/>
    <col min="3083" max="3084" width="18.69921875" style="1665" customWidth="1"/>
    <col min="3085" max="3085" width="15.69921875" style="1665" customWidth="1"/>
    <col min="3086" max="3328" width="9.09765625" style="1665"/>
    <col min="3329" max="3332" width="9.765625E-2" style="1665" customWidth="1"/>
    <col min="3333" max="3333" width="35.69921875" style="1665" customWidth="1"/>
    <col min="3334" max="3334" width="8.69921875" style="1665" customWidth="1"/>
    <col min="3335" max="3336" width="18.69921875" style="1665" customWidth="1"/>
    <col min="3337" max="3337" width="35.69921875" style="1665" customWidth="1"/>
    <col min="3338" max="3338" width="8.69921875" style="1665" customWidth="1"/>
    <col min="3339" max="3340" width="18.69921875" style="1665" customWidth="1"/>
    <col min="3341" max="3341" width="15.69921875" style="1665" customWidth="1"/>
    <col min="3342" max="3584" width="9.09765625" style="1665"/>
    <col min="3585" max="3588" width="9.765625E-2" style="1665" customWidth="1"/>
    <col min="3589" max="3589" width="35.69921875" style="1665" customWidth="1"/>
    <col min="3590" max="3590" width="8.69921875" style="1665" customWidth="1"/>
    <col min="3591" max="3592" width="18.69921875" style="1665" customWidth="1"/>
    <col min="3593" max="3593" width="35.69921875" style="1665" customWidth="1"/>
    <col min="3594" max="3594" width="8.69921875" style="1665" customWidth="1"/>
    <col min="3595" max="3596" width="18.69921875" style="1665" customWidth="1"/>
    <col min="3597" max="3597" width="15.69921875" style="1665" customWidth="1"/>
    <col min="3598" max="3840" width="9.09765625" style="1665"/>
    <col min="3841" max="3844" width="9.765625E-2" style="1665" customWidth="1"/>
    <col min="3845" max="3845" width="35.69921875" style="1665" customWidth="1"/>
    <col min="3846" max="3846" width="8.69921875" style="1665" customWidth="1"/>
    <col min="3847" max="3848" width="18.69921875" style="1665" customWidth="1"/>
    <col min="3849" max="3849" width="35.69921875" style="1665" customWidth="1"/>
    <col min="3850" max="3850" width="8.69921875" style="1665" customWidth="1"/>
    <col min="3851" max="3852" width="18.69921875" style="1665" customWidth="1"/>
    <col min="3853" max="3853" width="15.69921875" style="1665" customWidth="1"/>
    <col min="3854" max="4096" width="9.09765625" style="1665"/>
    <col min="4097" max="4100" width="9.765625E-2" style="1665" customWidth="1"/>
    <col min="4101" max="4101" width="35.69921875" style="1665" customWidth="1"/>
    <col min="4102" max="4102" width="8.69921875" style="1665" customWidth="1"/>
    <col min="4103" max="4104" width="18.69921875" style="1665" customWidth="1"/>
    <col min="4105" max="4105" width="35.69921875" style="1665" customWidth="1"/>
    <col min="4106" max="4106" width="8.69921875" style="1665" customWidth="1"/>
    <col min="4107" max="4108" width="18.69921875" style="1665" customWidth="1"/>
    <col min="4109" max="4109" width="15.69921875" style="1665" customWidth="1"/>
    <col min="4110" max="4352" width="9.09765625" style="1665"/>
    <col min="4353" max="4356" width="9.765625E-2" style="1665" customWidth="1"/>
    <col min="4357" max="4357" width="35.69921875" style="1665" customWidth="1"/>
    <col min="4358" max="4358" width="8.69921875" style="1665" customWidth="1"/>
    <col min="4359" max="4360" width="18.69921875" style="1665" customWidth="1"/>
    <col min="4361" max="4361" width="35.69921875" style="1665" customWidth="1"/>
    <col min="4362" max="4362" width="8.69921875" style="1665" customWidth="1"/>
    <col min="4363" max="4364" width="18.69921875" style="1665" customWidth="1"/>
    <col min="4365" max="4365" width="15.69921875" style="1665" customWidth="1"/>
    <col min="4366" max="4608" width="9.09765625" style="1665"/>
    <col min="4609" max="4612" width="9.765625E-2" style="1665" customWidth="1"/>
    <col min="4613" max="4613" width="35.69921875" style="1665" customWidth="1"/>
    <col min="4614" max="4614" width="8.69921875" style="1665" customWidth="1"/>
    <col min="4615" max="4616" width="18.69921875" style="1665" customWidth="1"/>
    <col min="4617" max="4617" width="35.69921875" style="1665" customWidth="1"/>
    <col min="4618" max="4618" width="8.69921875" style="1665" customWidth="1"/>
    <col min="4619" max="4620" width="18.69921875" style="1665" customWidth="1"/>
    <col min="4621" max="4621" width="15.69921875" style="1665" customWidth="1"/>
    <col min="4622" max="4864" width="9.09765625" style="1665"/>
    <col min="4865" max="4868" width="9.765625E-2" style="1665" customWidth="1"/>
    <col min="4869" max="4869" width="35.69921875" style="1665" customWidth="1"/>
    <col min="4870" max="4870" width="8.69921875" style="1665" customWidth="1"/>
    <col min="4871" max="4872" width="18.69921875" style="1665" customWidth="1"/>
    <col min="4873" max="4873" width="35.69921875" style="1665" customWidth="1"/>
    <col min="4874" max="4874" width="8.69921875" style="1665" customWidth="1"/>
    <col min="4875" max="4876" width="18.69921875" style="1665" customWidth="1"/>
    <col min="4877" max="4877" width="15.69921875" style="1665" customWidth="1"/>
    <col min="4878" max="5120" width="9.09765625" style="1665"/>
    <col min="5121" max="5124" width="9.765625E-2" style="1665" customWidth="1"/>
    <col min="5125" max="5125" width="35.69921875" style="1665" customWidth="1"/>
    <col min="5126" max="5126" width="8.69921875" style="1665" customWidth="1"/>
    <col min="5127" max="5128" width="18.69921875" style="1665" customWidth="1"/>
    <col min="5129" max="5129" width="35.69921875" style="1665" customWidth="1"/>
    <col min="5130" max="5130" width="8.69921875" style="1665" customWidth="1"/>
    <col min="5131" max="5132" width="18.69921875" style="1665" customWidth="1"/>
    <col min="5133" max="5133" width="15.69921875" style="1665" customWidth="1"/>
    <col min="5134" max="5376" width="9.09765625" style="1665"/>
    <col min="5377" max="5380" width="9.765625E-2" style="1665" customWidth="1"/>
    <col min="5381" max="5381" width="35.69921875" style="1665" customWidth="1"/>
    <col min="5382" max="5382" width="8.69921875" style="1665" customWidth="1"/>
    <col min="5383" max="5384" width="18.69921875" style="1665" customWidth="1"/>
    <col min="5385" max="5385" width="35.69921875" style="1665" customWidth="1"/>
    <col min="5386" max="5386" width="8.69921875" style="1665" customWidth="1"/>
    <col min="5387" max="5388" width="18.69921875" style="1665" customWidth="1"/>
    <col min="5389" max="5389" width="15.69921875" style="1665" customWidth="1"/>
    <col min="5390" max="5632" width="9.09765625" style="1665"/>
    <col min="5633" max="5636" width="9.765625E-2" style="1665" customWidth="1"/>
    <col min="5637" max="5637" width="35.69921875" style="1665" customWidth="1"/>
    <col min="5638" max="5638" width="8.69921875" style="1665" customWidth="1"/>
    <col min="5639" max="5640" width="18.69921875" style="1665" customWidth="1"/>
    <col min="5641" max="5641" width="35.69921875" style="1665" customWidth="1"/>
    <col min="5642" max="5642" width="8.69921875" style="1665" customWidth="1"/>
    <col min="5643" max="5644" width="18.69921875" style="1665" customWidth="1"/>
    <col min="5645" max="5645" width="15.69921875" style="1665" customWidth="1"/>
    <col min="5646" max="5888" width="9.09765625" style="1665"/>
    <col min="5889" max="5892" width="9.765625E-2" style="1665" customWidth="1"/>
    <col min="5893" max="5893" width="35.69921875" style="1665" customWidth="1"/>
    <col min="5894" max="5894" width="8.69921875" style="1665" customWidth="1"/>
    <col min="5895" max="5896" width="18.69921875" style="1665" customWidth="1"/>
    <col min="5897" max="5897" width="35.69921875" style="1665" customWidth="1"/>
    <col min="5898" max="5898" width="8.69921875" style="1665" customWidth="1"/>
    <col min="5899" max="5900" width="18.69921875" style="1665" customWidth="1"/>
    <col min="5901" max="5901" width="15.69921875" style="1665" customWidth="1"/>
    <col min="5902" max="6144" width="9.09765625" style="1665"/>
    <col min="6145" max="6148" width="9.765625E-2" style="1665" customWidth="1"/>
    <col min="6149" max="6149" width="35.69921875" style="1665" customWidth="1"/>
    <col min="6150" max="6150" width="8.69921875" style="1665" customWidth="1"/>
    <col min="6151" max="6152" width="18.69921875" style="1665" customWidth="1"/>
    <col min="6153" max="6153" width="35.69921875" style="1665" customWidth="1"/>
    <col min="6154" max="6154" width="8.69921875" style="1665" customWidth="1"/>
    <col min="6155" max="6156" width="18.69921875" style="1665" customWidth="1"/>
    <col min="6157" max="6157" width="15.69921875" style="1665" customWidth="1"/>
    <col min="6158" max="6400" width="9.09765625" style="1665"/>
    <col min="6401" max="6404" width="9.765625E-2" style="1665" customWidth="1"/>
    <col min="6405" max="6405" width="35.69921875" style="1665" customWidth="1"/>
    <col min="6406" max="6406" width="8.69921875" style="1665" customWidth="1"/>
    <col min="6407" max="6408" width="18.69921875" style="1665" customWidth="1"/>
    <col min="6409" max="6409" width="35.69921875" style="1665" customWidth="1"/>
    <col min="6410" max="6410" width="8.69921875" style="1665" customWidth="1"/>
    <col min="6411" max="6412" width="18.69921875" style="1665" customWidth="1"/>
    <col min="6413" max="6413" width="15.69921875" style="1665" customWidth="1"/>
    <col min="6414" max="6656" width="9.09765625" style="1665"/>
    <col min="6657" max="6660" width="9.765625E-2" style="1665" customWidth="1"/>
    <col min="6661" max="6661" width="35.69921875" style="1665" customWidth="1"/>
    <col min="6662" max="6662" width="8.69921875" style="1665" customWidth="1"/>
    <col min="6663" max="6664" width="18.69921875" style="1665" customWidth="1"/>
    <col min="6665" max="6665" width="35.69921875" style="1665" customWidth="1"/>
    <col min="6666" max="6666" width="8.69921875" style="1665" customWidth="1"/>
    <col min="6667" max="6668" width="18.69921875" style="1665" customWidth="1"/>
    <col min="6669" max="6669" width="15.69921875" style="1665" customWidth="1"/>
    <col min="6670" max="6912" width="9.09765625" style="1665"/>
    <col min="6913" max="6916" width="9.765625E-2" style="1665" customWidth="1"/>
    <col min="6917" max="6917" width="35.69921875" style="1665" customWidth="1"/>
    <col min="6918" max="6918" width="8.69921875" style="1665" customWidth="1"/>
    <col min="6919" max="6920" width="18.69921875" style="1665" customWidth="1"/>
    <col min="6921" max="6921" width="35.69921875" style="1665" customWidth="1"/>
    <col min="6922" max="6922" width="8.69921875" style="1665" customWidth="1"/>
    <col min="6923" max="6924" width="18.69921875" style="1665" customWidth="1"/>
    <col min="6925" max="6925" width="15.69921875" style="1665" customWidth="1"/>
    <col min="6926" max="7168" width="9.09765625" style="1665"/>
    <col min="7169" max="7172" width="9.765625E-2" style="1665" customWidth="1"/>
    <col min="7173" max="7173" width="35.69921875" style="1665" customWidth="1"/>
    <col min="7174" max="7174" width="8.69921875" style="1665" customWidth="1"/>
    <col min="7175" max="7176" width="18.69921875" style="1665" customWidth="1"/>
    <col min="7177" max="7177" width="35.69921875" style="1665" customWidth="1"/>
    <col min="7178" max="7178" width="8.69921875" style="1665" customWidth="1"/>
    <col min="7179" max="7180" width="18.69921875" style="1665" customWidth="1"/>
    <col min="7181" max="7181" width="15.69921875" style="1665" customWidth="1"/>
    <col min="7182" max="7424" width="9.09765625" style="1665"/>
    <col min="7425" max="7428" width="9.765625E-2" style="1665" customWidth="1"/>
    <col min="7429" max="7429" width="35.69921875" style="1665" customWidth="1"/>
    <col min="7430" max="7430" width="8.69921875" style="1665" customWidth="1"/>
    <col min="7431" max="7432" width="18.69921875" style="1665" customWidth="1"/>
    <col min="7433" max="7433" width="35.69921875" style="1665" customWidth="1"/>
    <col min="7434" max="7434" width="8.69921875" style="1665" customWidth="1"/>
    <col min="7435" max="7436" width="18.69921875" style="1665" customWidth="1"/>
    <col min="7437" max="7437" width="15.69921875" style="1665" customWidth="1"/>
    <col min="7438" max="7680" width="9.09765625" style="1665"/>
    <col min="7681" max="7684" width="9.765625E-2" style="1665" customWidth="1"/>
    <col min="7685" max="7685" width="35.69921875" style="1665" customWidth="1"/>
    <col min="7686" max="7686" width="8.69921875" style="1665" customWidth="1"/>
    <col min="7687" max="7688" width="18.69921875" style="1665" customWidth="1"/>
    <col min="7689" max="7689" width="35.69921875" style="1665" customWidth="1"/>
    <col min="7690" max="7690" width="8.69921875" style="1665" customWidth="1"/>
    <col min="7691" max="7692" width="18.69921875" style="1665" customWidth="1"/>
    <col min="7693" max="7693" width="15.69921875" style="1665" customWidth="1"/>
    <col min="7694" max="7936" width="9.09765625" style="1665"/>
    <col min="7937" max="7940" width="9.765625E-2" style="1665" customWidth="1"/>
    <col min="7941" max="7941" width="35.69921875" style="1665" customWidth="1"/>
    <col min="7942" max="7942" width="8.69921875" style="1665" customWidth="1"/>
    <col min="7943" max="7944" width="18.69921875" style="1665" customWidth="1"/>
    <col min="7945" max="7945" width="35.69921875" style="1665" customWidth="1"/>
    <col min="7946" max="7946" width="8.69921875" style="1665" customWidth="1"/>
    <col min="7947" max="7948" width="18.69921875" style="1665" customWidth="1"/>
    <col min="7949" max="7949" width="15.69921875" style="1665" customWidth="1"/>
    <col min="7950" max="8192" width="9.09765625" style="1665"/>
    <col min="8193" max="8196" width="9.765625E-2" style="1665" customWidth="1"/>
    <col min="8197" max="8197" width="35.69921875" style="1665" customWidth="1"/>
    <col min="8198" max="8198" width="8.69921875" style="1665" customWidth="1"/>
    <col min="8199" max="8200" width="18.69921875" style="1665" customWidth="1"/>
    <col min="8201" max="8201" width="35.69921875" style="1665" customWidth="1"/>
    <col min="8202" max="8202" width="8.69921875" style="1665" customWidth="1"/>
    <col min="8203" max="8204" width="18.69921875" style="1665" customWidth="1"/>
    <col min="8205" max="8205" width="15.69921875" style="1665" customWidth="1"/>
    <col min="8206" max="8448" width="9.09765625" style="1665"/>
    <col min="8449" max="8452" width="9.765625E-2" style="1665" customWidth="1"/>
    <col min="8453" max="8453" width="35.69921875" style="1665" customWidth="1"/>
    <col min="8454" max="8454" width="8.69921875" style="1665" customWidth="1"/>
    <col min="8455" max="8456" width="18.69921875" style="1665" customWidth="1"/>
    <col min="8457" max="8457" width="35.69921875" style="1665" customWidth="1"/>
    <col min="8458" max="8458" width="8.69921875" style="1665" customWidth="1"/>
    <col min="8459" max="8460" width="18.69921875" style="1665" customWidth="1"/>
    <col min="8461" max="8461" width="15.69921875" style="1665" customWidth="1"/>
    <col min="8462" max="8704" width="9.09765625" style="1665"/>
    <col min="8705" max="8708" width="9.765625E-2" style="1665" customWidth="1"/>
    <col min="8709" max="8709" width="35.69921875" style="1665" customWidth="1"/>
    <col min="8710" max="8710" width="8.69921875" style="1665" customWidth="1"/>
    <col min="8711" max="8712" width="18.69921875" style="1665" customWidth="1"/>
    <col min="8713" max="8713" width="35.69921875" style="1665" customWidth="1"/>
    <col min="8714" max="8714" width="8.69921875" style="1665" customWidth="1"/>
    <col min="8715" max="8716" width="18.69921875" style="1665" customWidth="1"/>
    <col min="8717" max="8717" width="15.69921875" style="1665" customWidth="1"/>
    <col min="8718" max="8960" width="9.09765625" style="1665"/>
    <col min="8961" max="8964" width="9.765625E-2" style="1665" customWidth="1"/>
    <col min="8965" max="8965" width="35.69921875" style="1665" customWidth="1"/>
    <col min="8966" max="8966" width="8.69921875" style="1665" customWidth="1"/>
    <col min="8967" max="8968" width="18.69921875" style="1665" customWidth="1"/>
    <col min="8969" max="8969" width="35.69921875" style="1665" customWidth="1"/>
    <col min="8970" max="8970" width="8.69921875" style="1665" customWidth="1"/>
    <col min="8971" max="8972" width="18.69921875" style="1665" customWidth="1"/>
    <col min="8973" max="8973" width="15.69921875" style="1665" customWidth="1"/>
    <col min="8974" max="9216" width="9.09765625" style="1665"/>
    <col min="9217" max="9220" width="9.765625E-2" style="1665" customWidth="1"/>
    <col min="9221" max="9221" width="35.69921875" style="1665" customWidth="1"/>
    <col min="9222" max="9222" width="8.69921875" style="1665" customWidth="1"/>
    <col min="9223" max="9224" width="18.69921875" style="1665" customWidth="1"/>
    <col min="9225" max="9225" width="35.69921875" style="1665" customWidth="1"/>
    <col min="9226" max="9226" width="8.69921875" style="1665" customWidth="1"/>
    <col min="9227" max="9228" width="18.69921875" style="1665" customWidth="1"/>
    <col min="9229" max="9229" width="15.69921875" style="1665" customWidth="1"/>
    <col min="9230" max="9472" width="9.09765625" style="1665"/>
    <col min="9473" max="9476" width="9.765625E-2" style="1665" customWidth="1"/>
    <col min="9477" max="9477" width="35.69921875" style="1665" customWidth="1"/>
    <col min="9478" max="9478" width="8.69921875" style="1665" customWidth="1"/>
    <col min="9479" max="9480" width="18.69921875" style="1665" customWidth="1"/>
    <col min="9481" max="9481" width="35.69921875" style="1665" customWidth="1"/>
    <col min="9482" max="9482" width="8.69921875" style="1665" customWidth="1"/>
    <col min="9483" max="9484" width="18.69921875" style="1665" customWidth="1"/>
    <col min="9485" max="9485" width="15.69921875" style="1665" customWidth="1"/>
    <col min="9486" max="9728" width="9.09765625" style="1665"/>
    <col min="9729" max="9732" width="9.765625E-2" style="1665" customWidth="1"/>
    <col min="9733" max="9733" width="35.69921875" style="1665" customWidth="1"/>
    <col min="9734" max="9734" width="8.69921875" style="1665" customWidth="1"/>
    <col min="9735" max="9736" width="18.69921875" style="1665" customWidth="1"/>
    <col min="9737" max="9737" width="35.69921875" style="1665" customWidth="1"/>
    <col min="9738" max="9738" width="8.69921875" style="1665" customWidth="1"/>
    <col min="9739" max="9740" width="18.69921875" style="1665" customWidth="1"/>
    <col min="9741" max="9741" width="15.69921875" style="1665" customWidth="1"/>
    <col min="9742" max="9984" width="9.09765625" style="1665"/>
    <col min="9985" max="9988" width="9.765625E-2" style="1665" customWidth="1"/>
    <col min="9989" max="9989" width="35.69921875" style="1665" customWidth="1"/>
    <col min="9990" max="9990" width="8.69921875" style="1665" customWidth="1"/>
    <col min="9991" max="9992" width="18.69921875" style="1665" customWidth="1"/>
    <col min="9993" max="9993" width="35.69921875" style="1665" customWidth="1"/>
    <col min="9994" max="9994" width="8.69921875" style="1665" customWidth="1"/>
    <col min="9995" max="9996" width="18.69921875" style="1665" customWidth="1"/>
    <col min="9997" max="9997" width="15.69921875" style="1665" customWidth="1"/>
    <col min="9998" max="10240" width="9.09765625" style="1665"/>
    <col min="10241" max="10244" width="9.765625E-2" style="1665" customWidth="1"/>
    <col min="10245" max="10245" width="35.69921875" style="1665" customWidth="1"/>
    <col min="10246" max="10246" width="8.69921875" style="1665" customWidth="1"/>
    <col min="10247" max="10248" width="18.69921875" style="1665" customWidth="1"/>
    <col min="10249" max="10249" width="35.69921875" style="1665" customWidth="1"/>
    <col min="10250" max="10250" width="8.69921875" style="1665" customWidth="1"/>
    <col min="10251" max="10252" width="18.69921875" style="1665" customWidth="1"/>
    <col min="10253" max="10253" width="15.69921875" style="1665" customWidth="1"/>
    <col min="10254" max="10496" width="9.09765625" style="1665"/>
    <col min="10497" max="10500" width="9.765625E-2" style="1665" customWidth="1"/>
    <col min="10501" max="10501" width="35.69921875" style="1665" customWidth="1"/>
    <col min="10502" max="10502" width="8.69921875" style="1665" customWidth="1"/>
    <col min="10503" max="10504" width="18.69921875" style="1665" customWidth="1"/>
    <col min="10505" max="10505" width="35.69921875" style="1665" customWidth="1"/>
    <col min="10506" max="10506" width="8.69921875" style="1665" customWidth="1"/>
    <col min="10507" max="10508" width="18.69921875" style="1665" customWidth="1"/>
    <col min="10509" max="10509" width="15.69921875" style="1665" customWidth="1"/>
    <col min="10510" max="10752" width="9.09765625" style="1665"/>
    <col min="10753" max="10756" width="9.765625E-2" style="1665" customWidth="1"/>
    <col min="10757" max="10757" width="35.69921875" style="1665" customWidth="1"/>
    <col min="10758" max="10758" width="8.69921875" style="1665" customWidth="1"/>
    <col min="10759" max="10760" width="18.69921875" style="1665" customWidth="1"/>
    <col min="10761" max="10761" width="35.69921875" style="1665" customWidth="1"/>
    <col min="10762" max="10762" width="8.69921875" style="1665" customWidth="1"/>
    <col min="10763" max="10764" width="18.69921875" style="1665" customWidth="1"/>
    <col min="10765" max="10765" width="15.69921875" style="1665" customWidth="1"/>
    <col min="10766" max="11008" width="9.09765625" style="1665"/>
    <col min="11009" max="11012" width="9.765625E-2" style="1665" customWidth="1"/>
    <col min="11013" max="11013" width="35.69921875" style="1665" customWidth="1"/>
    <col min="11014" max="11014" width="8.69921875" style="1665" customWidth="1"/>
    <col min="11015" max="11016" width="18.69921875" style="1665" customWidth="1"/>
    <col min="11017" max="11017" width="35.69921875" style="1665" customWidth="1"/>
    <col min="11018" max="11018" width="8.69921875" style="1665" customWidth="1"/>
    <col min="11019" max="11020" width="18.69921875" style="1665" customWidth="1"/>
    <col min="11021" max="11021" width="15.69921875" style="1665" customWidth="1"/>
    <col min="11022" max="11264" width="9.09765625" style="1665"/>
    <col min="11265" max="11268" width="9.765625E-2" style="1665" customWidth="1"/>
    <col min="11269" max="11269" width="35.69921875" style="1665" customWidth="1"/>
    <col min="11270" max="11270" width="8.69921875" style="1665" customWidth="1"/>
    <col min="11271" max="11272" width="18.69921875" style="1665" customWidth="1"/>
    <col min="11273" max="11273" width="35.69921875" style="1665" customWidth="1"/>
    <col min="11274" max="11274" width="8.69921875" style="1665" customWidth="1"/>
    <col min="11275" max="11276" width="18.69921875" style="1665" customWidth="1"/>
    <col min="11277" max="11277" width="15.69921875" style="1665" customWidth="1"/>
    <col min="11278" max="11520" width="9.09765625" style="1665"/>
    <col min="11521" max="11524" width="9.765625E-2" style="1665" customWidth="1"/>
    <col min="11525" max="11525" width="35.69921875" style="1665" customWidth="1"/>
    <col min="11526" max="11526" width="8.69921875" style="1665" customWidth="1"/>
    <col min="11527" max="11528" width="18.69921875" style="1665" customWidth="1"/>
    <col min="11529" max="11529" width="35.69921875" style="1665" customWidth="1"/>
    <col min="11530" max="11530" width="8.69921875" style="1665" customWidth="1"/>
    <col min="11531" max="11532" width="18.69921875" style="1665" customWidth="1"/>
    <col min="11533" max="11533" width="15.69921875" style="1665" customWidth="1"/>
    <col min="11534" max="11776" width="9.09765625" style="1665"/>
    <col min="11777" max="11780" width="9.765625E-2" style="1665" customWidth="1"/>
    <col min="11781" max="11781" width="35.69921875" style="1665" customWidth="1"/>
    <col min="11782" max="11782" width="8.69921875" style="1665" customWidth="1"/>
    <col min="11783" max="11784" width="18.69921875" style="1665" customWidth="1"/>
    <col min="11785" max="11785" width="35.69921875" style="1665" customWidth="1"/>
    <col min="11786" max="11786" width="8.69921875" style="1665" customWidth="1"/>
    <col min="11787" max="11788" width="18.69921875" style="1665" customWidth="1"/>
    <col min="11789" max="11789" width="15.69921875" style="1665" customWidth="1"/>
    <col min="11790" max="12032" width="9.09765625" style="1665"/>
    <col min="12033" max="12036" width="9.765625E-2" style="1665" customWidth="1"/>
    <col min="12037" max="12037" width="35.69921875" style="1665" customWidth="1"/>
    <col min="12038" max="12038" width="8.69921875" style="1665" customWidth="1"/>
    <col min="12039" max="12040" width="18.69921875" style="1665" customWidth="1"/>
    <col min="12041" max="12041" width="35.69921875" style="1665" customWidth="1"/>
    <col min="12042" max="12042" width="8.69921875" style="1665" customWidth="1"/>
    <col min="12043" max="12044" width="18.69921875" style="1665" customWidth="1"/>
    <col min="12045" max="12045" width="15.69921875" style="1665" customWidth="1"/>
    <col min="12046" max="12288" width="9.09765625" style="1665"/>
    <col min="12289" max="12292" width="9.765625E-2" style="1665" customWidth="1"/>
    <col min="12293" max="12293" width="35.69921875" style="1665" customWidth="1"/>
    <col min="12294" max="12294" width="8.69921875" style="1665" customWidth="1"/>
    <col min="12295" max="12296" width="18.69921875" style="1665" customWidth="1"/>
    <col min="12297" max="12297" width="35.69921875" style="1665" customWidth="1"/>
    <col min="12298" max="12298" width="8.69921875" style="1665" customWidth="1"/>
    <col min="12299" max="12300" width="18.69921875" style="1665" customWidth="1"/>
    <col min="12301" max="12301" width="15.69921875" style="1665" customWidth="1"/>
    <col min="12302" max="12544" width="9.09765625" style="1665"/>
    <col min="12545" max="12548" width="9.765625E-2" style="1665" customWidth="1"/>
    <col min="12549" max="12549" width="35.69921875" style="1665" customWidth="1"/>
    <col min="12550" max="12550" width="8.69921875" style="1665" customWidth="1"/>
    <col min="12551" max="12552" width="18.69921875" style="1665" customWidth="1"/>
    <col min="12553" max="12553" width="35.69921875" style="1665" customWidth="1"/>
    <col min="12554" max="12554" width="8.69921875" style="1665" customWidth="1"/>
    <col min="12555" max="12556" width="18.69921875" style="1665" customWidth="1"/>
    <col min="12557" max="12557" width="15.69921875" style="1665" customWidth="1"/>
    <col min="12558" max="12800" width="9.09765625" style="1665"/>
    <col min="12801" max="12804" width="9.765625E-2" style="1665" customWidth="1"/>
    <col min="12805" max="12805" width="35.69921875" style="1665" customWidth="1"/>
    <col min="12806" max="12806" width="8.69921875" style="1665" customWidth="1"/>
    <col min="12807" max="12808" width="18.69921875" style="1665" customWidth="1"/>
    <col min="12809" max="12809" width="35.69921875" style="1665" customWidth="1"/>
    <col min="12810" max="12810" width="8.69921875" style="1665" customWidth="1"/>
    <col min="12811" max="12812" width="18.69921875" style="1665" customWidth="1"/>
    <col min="12813" max="12813" width="15.69921875" style="1665" customWidth="1"/>
    <col min="12814" max="13056" width="9.09765625" style="1665"/>
    <col min="13057" max="13060" width="9.765625E-2" style="1665" customWidth="1"/>
    <col min="13061" max="13061" width="35.69921875" style="1665" customWidth="1"/>
    <col min="13062" max="13062" width="8.69921875" style="1665" customWidth="1"/>
    <col min="13063" max="13064" width="18.69921875" style="1665" customWidth="1"/>
    <col min="13065" max="13065" width="35.69921875" style="1665" customWidth="1"/>
    <col min="13066" max="13066" width="8.69921875" style="1665" customWidth="1"/>
    <col min="13067" max="13068" width="18.69921875" style="1665" customWidth="1"/>
    <col min="13069" max="13069" width="15.69921875" style="1665" customWidth="1"/>
    <col min="13070" max="13312" width="9.09765625" style="1665"/>
    <col min="13313" max="13316" width="9.765625E-2" style="1665" customWidth="1"/>
    <col min="13317" max="13317" width="35.69921875" style="1665" customWidth="1"/>
    <col min="13318" max="13318" width="8.69921875" style="1665" customWidth="1"/>
    <col min="13319" max="13320" width="18.69921875" style="1665" customWidth="1"/>
    <col min="13321" max="13321" width="35.69921875" style="1665" customWidth="1"/>
    <col min="13322" max="13322" width="8.69921875" style="1665" customWidth="1"/>
    <col min="13323" max="13324" width="18.69921875" style="1665" customWidth="1"/>
    <col min="13325" max="13325" width="15.69921875" style="1665" customWidth="1"/>
    <col min="13326" max="13568" width="9.09765625" style="1665"/>
    <col min="13569" max="13572" width="9.765625E-2" style="1665" customWidth="1"/>
    <col min="13573" max="13573" width="35.69921875" style="1665" customWidth="1"/>
    <col min="13574" max="13574" width="8.69921875" style="1665" customWidth="1"/>
    <col min="13575" max="13576" width="18.69921875" style="1665" customWidth="1"/>
    <col min="13577" max="13577" width="35.69921875" style="1665" customWidth="1"/>
    <col min="13578" max="13578" width="8.69921875" style="1665" customWidth="1"/>
    <col min="13579" max="13580" width="18.69921875" style="1665" customWidth="1"/>
    <col min="13581" max="13581" width="15.69921875" style="1665" customWidth="1"/>
    <col min="13582" max="13824" width="9.09765625" style="1665"/>
    <col min="13825" max="13828" width="9.765625E-2" style="1665" customWidth="1"/>
    <col min="13829" max="13829" width="35.69921875" style="1665" customWidth="1"/>
    <col min="13830" max="13830" width="8.69921875" style="1665" customWidth="1"/>
    <col min="13831" max="13832" width="18.69921875" style="1665" customWidth="1"/>
    <col min="13833" max="13833" width="35.69921875" style="1665" customWidth="1"/>
    <col min="13834" max="13834" width="8.69921875" style="1665" customWidth="1"/>
    <col min="13835" max="13836" width="18.69921875" style="1665" customWidth="1"/>
    <col min="13837" max="13837" width="15.69921875" style="1665" customWidth="1"/>
    <col min="13838" max="14080" width="9.09765625" style="1665"/>
    <col min="14081" max="14084" width="9.765625E-2" style="1665" customWidth="1"/>
    <col min="14085" max="14085" width="35.69921875" style="1665" customWidth="1"/>
    <col min="14086" max="14086" width="8.69921875" style="1665" customWidth="1"/>
    <col min="14087" max="14088" width="18.69921875" style="1665" customWidth="1"/>
    <col min="14089" max="14089" width="35.69921875" style="1665" customWidth="1"/>
    <col min="14090" max="14090" width="8.69921875" style="1665" customWidth="1"/>
    <col min="14091" max="14092" width="18.69921875" style="1665" customWidth="1"/>
    <col min="14093" max="14093" width="15.69921875" style="1665" customWidth="1"/>
    <col min="14094" max="14336" width="9.09765625" style="1665"/>
    <col min="14337" max="14340" width="9.765625E-2" style="1665" customWidth="1"/>
    <col min="14341" max="14341" width="35.69921875" style="1665" customWidth="1"/>
    <col min="14342" max="14342" width="8.69921875" style="1665" customWidth="1"/>
    <col min="14343" max="14344" width="18.69921875" style="1665" customWidth="1"/>
    <col min="14345" max="14345" width="35.69921875" style="1665" customWidth="1"/>
    <col min="14346" max="14346" width="8.69921875" style="1665" customWidth="1"/>
    <col min="14347" max="14348" width="18.69921875" style="1665" customWidth="1"/>
    <col min="14349" max="14349" width="15.69921875" style="1665" customWidth="1"/>
    <col min="14350" max="14592" width="9.09765625" style="1665"/>
    <col min="14593" max="14596" width="9.765625E-2" style="1665" customWidth="1"/>
    <col min="14597" max="14597" width="35.69921875" style="1665" customWidth="1"/>
    <col min="14598" max="14598" width="8.69921875" style="1665" customWidth="1"/>
    <col min="14599" max="14600" width="18.69921875" style="1665" customWidth="1"/>
    <col min="14601" max="14601" width="35.69921875" style="1665" customWidth="1"/>
    <col min="14602" max="14602" width="8.69921875" style="1665" customWidth="1"/>
    <col min="14603" max="14604" width="18.69921875" style="1665" customWidth="1"/>
    <col min="14605" max="14605" width="15.69921875" style="1665" customWidth="1"/>
    <col min="14606" max="14848" width="9.09765625" style="1665"/>
    <col min="14849" max="14852" width="9.765625E-2" style="1665" customWidth="1"/>
    <col min="14853" max="14853" width="35.69921875" style="1665" customWidth="1"/>
    <col min="14854" max="14854" width="8.69921875" style="1665" customWidth="1"/>
    <col min="14855" max="14856" width="18.69921875" style="1665" customWidth="1"/>
    <col min="14857" max="14857" width="35.69921875" style="1665" customWidth="1"/>
    <col min="14858" max="14858" width="8.69921875" style="1665" customWidth="1"/>
    <col min="14859" max="14860" width="18.69921875" style="1665" customWidth="1"/>
    <col min="14861" max="14861" width="15.69921875" style="1665" customWidth="1"/>
    <col min="14862" max="15104" width="9.09765625" style="1665"/>
    <col min="15105" max="15108" width="9.765625E-2" style="1665" customWidth="1"/>
    <col min="15109" max="15109" width="35.69921875" style="1665" customWidth="1"/>
    <col min="15110" max="15110" width="8.69921875" style="1665" customWidth="1"/>
    <col min="15111" max="15112" width="18.69921875" style="1665" customWidth="1"/>
    <col min="15113" max="15113" width="35.69921875" style="1665" customWidth="1"/>
    <col min="15114" max="15114" width="8.69921875" style="1665" customWidth="1"/>
    <col min="15115" max="15116" width="18.69921875" style="1665" customWidth="1"/>
    <col min="15117" max="15117" width="15.69921875" style="1665" customWidth="1"/>
    <col min="15118" max="15360" width="9.09765625" style="1665"/>
    <col min="15361" max="15364" width="9.765625E-2" style="1665" customWidth="1"/>
    <col min="15365" max="15365" width="35.69921875" style="1665" customWidth="1"/>
    <col min="15366" max="15366" width="8.69921875" style="1665" customWidth="1"/>
    <col min="15367" max="15368" width="18.69921875" style="1665" customWidth="1"/>
    <col min="15369" max="15369" width="35.69921875" style="1665" customWidth="1"/>
    <col min="15370" max="15370" width="8.69921875" style="1665" customWidth="1"/>
    <col min="15371" max="15372" width="18.69921875" style="1665" customWidth="1"/>
    <col min="15373" max="15373" width="15.69921875" style="1665" customWidth="1"/>
    <col min="15374" max="15616" width="9.09765625" style="1665"/>
    <col min="15617" max="15620" width="9.765625E-2" style="1665" customWidth="1"/>
    <col min="15621" max="15621" width="35.69921875" style="1665" customWidth="1"/>
    <col min="15622" max="15622" width="8.69921875" style="1665" customWidth="1"/>
    <col min="15623" max="15624" width="18.69921875" style="1665" customWidth="1"/>
    <col min="15625" max="15625" width="35.69921875" style="1665" customWidth="1"/>
    <col min="15626" max="15626" width="8.69921875" style="1665" customWidth="1"/>
    <col min="15627" max="15628" width="18.69921875" style="1665" customWidth="1"/>
    <col min="15629" max="15629" width="15.69921875" style="1665" customWidth="1"/>
    <col min="15630" max="15872" width="9.09765625" style="1665"/>
    <col min="15873" max="15876" width="9.765625E-2" style="1665" customWidth="1"/>
    <col min="15877" max="15877" width="35.69921875" style="1665" customWidth="1"/>
    <col min="15878" max="15878" width="8.69921875" style="1665" customWidth="1"/>
    <col min="15879" max="15880" width="18.69921875" style="1665" customWidth="1"/>
    <col min="15881" max="15881" width="35.69921875" style="1665" customWidth="1"/>
    <col min="15882" max="15882" width="8.69921875" style="1665" customWidth="1"/>
    <col min="15883" max="15884" width="18.69921875" style="1665" customWidth="1"/>
    <col min="15885" max="15885" width="15.69921875" style="1665" customWidth="1"/>
    <col min="15886" max="16128" width="9.09765625" style="1665"/>
    <col min="16129" max="16132" width="9.765625E-2" style="1665" customWidth="1"/>
    <col min="16133" max="16133" width="35.69921875" style="1665" customWidth="1"/>
    <col min="16134" max="16134" width="8.69921875" style="1665" customWidth="1"/>
    <col min="16135" max="16136" width="18.69921875" style="1665" customWidth="1"/>
    <col min="16137" max="16137" width="35.69921875" style="1665" customWidth="1"/>
    <col min="16138" max="16138" width="8.69921875" style="1665" customWidth="1"/>
    <col min="16139" max="16140" width="18.69921875" style="1665" customWidth="1"/>
    <col min="16141" max="16141" width="15.69921875" style="1665" customWidth="1"/>
    <col min="16142" max="16384" width="9.09765625" style="1665"/>
  </cols>
  <sheetData>
    <row r="1" spans="1:16">
      <c r="A1" s="2840"/>
      <c r="B1" s="2840"/>
      <c r="C1" s="2840"/>
      <c r="D1" s="2840"/>
      <c r="E1" s="1662"/>
      <c r="F1" s="1662"/>
      <c r="G1" s="1662"/>
      <c r="H1" s="1662"/>
      <c r="I1" s="1663"/>
      <c r="J1" s="1662"/>
      <c r="K1" s="1662"/>
      <c r="L1" s="1662"/>
      <c r="M1" s="1664"/>
      <c r="N1" s="1664"/>
      <c r="O1" s="1664"/>
      <c r="P1" s="1664"/>
    </row>
    <row r="2" spans="1:16" ht="25" customHeight="1">
      <c r="A2" s="2840"/>
      <c r="B2" s="2840"/>
      <c r="C2" s="2840"/>
      <c r="D2" s="2840"/>
      <c r="E2" s="3114" t="s">
        <v>5808</v>
      </c>
      <c r="F2" s="3114"/>
      <c r="G2" s="3114"/>
      <c r="H2" s="3114"/>
      <c r="I2" s="3114"/>
      <c r="J2" s="3114"/>
      <c r="K2" s="3114"/>
      <c r="L2" s="3114"/>
      <c r="M2" s="1664"/>
      <c r="N2" s="1664"/>
      <c r="O2" s="1664"/>
      <c r="P2" s="1664"/>
    </row>
    <row r="3" spans="1:16" ht="27" customHeight="1">
      <c r="A3" s="2840"/>
      <c r="B3" s="2840"/>
      <c r="C3" s="2840"/>
      <c r="D3" s="2840"/>
      <c r="E3" s="3113" t="str">
        <f>TEXT(Lead!$F$5,"yyyy 年 mm 月 dd 日")</f>
        <v>2019 年 12 月 31 日</v>
      </c>
      <c r="F3" s="3113"/>
      <c r="G3" s="3113"/>
      <c r="H3" s="3113"/>
      <c r="I3" s="3113"/>
      <c r="J3" s="3113"/>
      <c r="K3" s="3113"/>
      <c r="L3" s="3113"/>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6" customHeight="1" thickBot="1">
      <c r="A5" s="2840"/>
      <c r="B5" s="2840"/>
      <c r="C5" s="2840"/>
      <c r="D5" s="2840"/>
      <c r="E5" s="2038" t="str">
        <f>Lead!$B$5&amp;"："&amp;Lead!$C$5</f>
        <v>编制单位：余江县天骏投资管理有限公司</v>
      </c>
      <c r="F5" s="2039"/>
      <c r="G5" s="2039"/>
      <c r="H5" s="2039"/>
      <c r="I5" s="2039"/>
      <c r="J5" s="2039"/>
      <c r="K5" s="2039" t="s">
        <v>5751</v>
      </c>
      <c r="L5" s="2039" t="s">
        <v>5752</v>
      </c>
      <c r="M5" s="1664"/>
      <c r="N5" s="1664"/>
      <c r="O5" s="1664"/>
      <c r="P5" s="1664"/>
    </row>
    <row r="6" spans="1:16" ht="21" customHeight="1">
      <c r="A6" s="2870" t="s">
        <v>6637</v>
      </c>
      <c r="B6" s="2870" t="s">
        <v>2557</v>
      </c>
      <c r="C6" s="2870" t="s">
        <v>6638</v>
      </c>
      <c r="D6" s="2870" t="s">
        <v>2562</v>
      </c>
      <c r="E6" s="2120" t="s">
        <v>5134</v>
      </c>
      <c r="F6" s="2121" t="s">
        <v>5848</v>
      </c>
      <c r="G6" s="2121" t="str">
        <f>TEXT(Lead!$F$5,"yyyy年m月d日")</f>
        <v>2019年12月31日</v>
      </c>
      <c r="H6" s="2121" t="str">
        <f>TEXT(Lead!$F$6,"yyyy年m月d日")</f>
        <v>2018年12月31日</v>
      </c>
      <c r="I6" s="2122" t="s">
        <v>5134</v>
      </c>
      <c r="J6" s="2121" t="s">
        <v>5848</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15480.77</v>
      </c>
      <c r="H8" s="2126">
        <f t="shared" ref="H8:H30" si="5">IF($C8="","",VLOOKUP($C8,Sheet_Trialbal,10,0))</f>
        <v>17805.68</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0</v>
      </c>
      <c r="I15" s="2130" t="str">
        <f t="shared" si="3"/>
        <v>应付账款</v>
      </c>
      <c r="J15" s="2124"/>
      <c r="K15" s="2125">
        <f t="shared" si="6"/>
        <v>0</v>
      </c>
      <c r="L15" s="2128">
        <f t="shared" si="7"/>
        <v>0</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0</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0</v>
      </c>
      <c r="I21" s="2130" t="str">
        <f t="shared" si="3"/>
        <v>应付职工薪酬</v>
      </c>
      <c r="J21" s="2124"/>
      <c r="K21" s="2125">
        <f t="shared" si="6"/>
        <v>0</v>
      </c>
      <c r="L21" s="2128">
        <f t="shared" si="7"/>
        <v>0</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0</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20000</v>
      </c>
      <c r="L23" s="2128">
        <f t="shared" si="7"/>
        <v>20000</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480</v>
      </c>
      <c r="H28" s="2126">
        <f t="shared" si="5"/>
        <v>480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15960.77</v>
      </c>
      <c r="H31" s="2126">
        <f>SUM(H8:H30)-SUM(H22,H23)</f>
        <v>18285.68</v>
      </c>
      <c r="I31" s="2134" t="str">
        <f t="shared" si="3"/>
        <v>流动负债合计</v>
      </c>
      <c r="J31" s="2124"/>
      <c r="K31" s="2125">
        <f>SUM(K8:K30)-SUM(K24,K25)</f>
        <v>20000</v>
      </c>
      <c r="L31" s="2128">
        <f>SUM(L8:L30)-SUM(L24,L25)</f>
        <v>20000</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0</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20000</v>
      </c>
      <c r="L45" s="2128">
        <f>SUM(L31,L44)</f>
        <v>20000</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0</v>
      </c>
      <c r="L47" s="2128">
        <f t="shared" si="14"/>
        <v>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0</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0</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-4039.23</v>
      </c>
      <c r="L57" s="2128">
        <f t="shared" si="14"/>
        <v>-1714.32</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0</v>
      </c>
      <c r="I58" s="2138" t="str">
        <f>IF($D58="","",VLOOKUP($D58,Sheet_Items,6,0))</f>
        <v>所有者权益合计</v>
      </c>
      <c r="J58" s="2124"/>
      <c r="K58" s="2125">
        <f>SUM(K47:K48,K51,-K52,K53:K57)</f>
        <v>-4039.23</v>
      </c>
      <c r="L58" s="2128">
        <f>SUM(L47:L48,L51,-L52,L53:L57)</f>
        <v>-1714.32</v>
      </c>
      <c r="M58" s="1668"/>
      <c r="N58" s="1664"/>
      <c r="O58" s="1664"/>
      <c r="P58" s="1664"/>
    </row>
    <row r="59" spans="1:16" ht="17.5" thickBot="1">
      <c r="A59" s="2842" t="str">
        <f t="shared" si="0"/>
        <v>＝</v>
      </c>
      <c r="B59" s="2842" t="str">
        <f t="shared" si="1"/>
        <v>＝</v>
      </c>
      <c r="C59" s="2871">
        <v>1999</v>
      </c>
      <c r="D59" s="2872">
        <v>5000</v>
      </c>
      <c r="E59" s="2895" t="str">
        <f>IF($C59="","",VLOOKUP($C59,Sheet_Items,6,0))</f>
        <v>资产总计</v>
      </c>
      <c r="F59" s="2139"/>
      <c r="G59" s="2140">
        <f>SUM(G31,G58)</f>
        <v>15960.77</v>
      </c>
      <c r="H59" s="2141">
        <f>SUM(H31,H58)</f>
        <v>18285.68</v>
      </c>
      <c r="I59" s="2142" t="str">
        <f>IF($D59="","",VLOOKUP($D59,Sheet_Items,6,0))</f>
        <v>负债和所有者权益总计</v>
      </c>
      <c r="J59" s="2139"/>
      <c r="K59" s="2140">
        <f>SUM(K45,K58)</f>
        <v>15960.77</v>
      </c>
      <c r="L59" s="2143">
        <f>SUM(L45,L58)</f>
        <v>18285.68</v>
      </c>
      <c r="M59" s="1668"/>
      <c r="N59" s="1664"/>
      <c r="O59" s="1664"/>
      <c r="P59" s="1664"/>
    </row>
    <row r="60" spans="1:16" ht="17">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49999999999999"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5">
      <c r="A64" s="2870" t="s">
        <v>2565</v>
      </c>
      <c r="B64" s="2870"/>
      <c r="C64" s="2870"/>
      <c r="D64" s="2870"/>
      <c r="E64" s="1670" t="s">
        <v>5753</v>
      </c>
      <c r="F64" s="1671"/>
      <c r="G64" s="1672"/>
      <c r="H64" s="1672"/>
      <c r="I64" s="1672"/>
      <c r="J64" s="1672"/>
      <c r="K64" s="1672"/>
      <c r="L64" s="1673"/>
      <c r="M64" s="1674"/>
      <c r="N64" s="1664"/>
      <c r="O64" s="1664"/>
      <c r="P64" s="1664"/>
    </row>
    <row r="65" spans="1:16" ht="15">
      <c r="A65" s="2870" t="s">
        <v>2565</v>
      </c>
      <c r="B65" s="2870"/>
      <c r="C65" s="2870"/>
      <c r="D65" s="2870"/>
      <c r="E65" s="1675" t="s">
        <v>5754</v>
      </c>
      <c r="F65" s="1672"/>
      <c r="G65" s="1672"/>
      <c r="H65" s="1672" t="s">
        <v>5755</v>
      </c>
      <c r="I65" s="1672" t="s">
        <v>5756</v>
      </c>
      <c r="J65" s="1676"/>
      <c r="K65" s="1672" t="s">
        <v>5757</v>
      </c>
      <c r="L65" s="1677" t="s">
        <v>2550</v>
      </c>
      <c r="M65" s="1674"/>
      <c r="N65" s="1664"/>
      <c r="O65" s="1664"/>
      <c r="P65" s="1664"/>
    </row>
    <row r="66" spans="1:16" ht="17">
      <c r="A66" s="2877" t="s">
        <v>2565</v>
      </c>
      <c r="B66" s="2870"/>
      <c r="C66" s="2870"/>
      <c r="D66" s="2870"/>
      <c r="E66" s="1678" t="s">
        <v>5758</v>
      </c>
      <c r="F66" s="1679"/>
      <c r="G66" s="1680"/>
      <c r="H66" s="1681"/>
      <c r="I66" s="1682"/>
      <c r="J66" s="1680"/>
      <c r="K66" s="1683"/>
      <c r="L66" s="1684"/>
      <c r="M66" s="1674"/>
      <c r="N66" s="1664"/>
      <c r="O66" s="1664"/>
      <c r="P66" s="1664"/>
    </row>
    <row r="67" spans="1:16" ht="17">
      <c r="A67" s="2877" t="s">
        <v>2565</v>
      </c>
      <c r="B67" s="2870"/>
      <c r="C67" s="2870"/>
      <c r="D67" s="2870"/>
      <c r="E67" s="1685" t="str">
        <f>$G$6</f>
        <v>2019年12月31日</v>
      </c>
      <c r="F67" s="1686"/>
      <c r="G67" s="1687"/>
      <c r="H67" s="1688"/>
      <c r="I67" s="1688"/>
      <c r="J67" s="1687"/>
      <c r="K67" s="1689"/>
      <c r="L67" s="1690"/>
      <c r="M67" s="853"/>
      <c r="N67" s="1664"/>
      <c r="O67" s="1664"/>
      <c r="P67" s="1664"/>
    </row>
    <row r="68" spans="1:16" ht="17">
      <c r="A68" s="2877" t="s">
        <v>2565</v>
      </c>
      <c r="B68" s="2870"/>
      <c r="C68" s="2870"/>
      <c r="D68" s="2870"/>
      <c r="E68" s="1691" t="str">
        <f>E59</f>
        <v>资产总计</v>
      </c>
      <c r="F68" s="1692"/>
      <c r="G68" s="1687"/>
      <c r="H68" s="1693">
        <f>G59</f>
        <v>15960.77</v>
      </c>
      <c r="I68" s="1688" t="str">
        <f>I59</f>
        <v>负债和所有者权益总计</v>
      </c>
      <c r="J68" s="1687"/>
      <c r="K68" s="1694">
        <f>K59</f>
        <v>15960.77</v>
      </c>
      <c r="L68" s="1695">
        <f>ROUND(H68-K68,2)</f>
        <v>0</v>
      </c>
      <c r="M68" s="1696" t="str">
        <f>IF(L68=0,"√","×")</f>
        <v>√</v>
      </c>
      <c r="N68" s="1664"/>
      <c r="O68" s="1664"/>
      <c r="P68" s="1664"/>
    </row>
    <row r="69" spans="1:16" ht="17">
      <c r="A69" s="2877" t="s">
        <v>2565</v>
      </c>
      <c r="B69" s="2870"/>
      <c r="C69" s="2870"/>
      <c r="D69" s="2870"/>
      <c r="E69" s="1697" t="str">
        <f>$H$6</f>
        <v>2018年12月31日</v>
      </c>
      <c r="F69" s="1698"/>
      <c r="G69" s="1687"/>
      <c r="H69" s="1688"/>
      <c r="I69" s="1688"/>
      <c r="J69" s="1687"/>
      <c r="K69" s="1689"/>
      <c r="L69" s="1690"/>
      <c r="M69" s="1699"/>
    </row>
    <row r="70" spans="1:16" ht="17.5" thickBot="1">
      <c r="A70" s="2877" t="s">
        <v>2565</v>
      </c>
      <c r="B70" s="2870"/>
      <c r="C70" s="2870"/>
      <c r="D70" s="2870"/>
      <c r="E70" s="1700" t="str">
        <f>E59</f>
        <v>资产总计</v>
      </c>
      <c r="F70" s="1701"/>
      <c r="G70" s="1702"/>
      <c r="H70" s="1703">
        <f>H59</f>
        <v>18285.68</v>
      </c>
      <c r="I70" s="1704" t="str">
        <f>I59</f>
        <v>负债和所有者权益总计</v>
      </c>
      <c r="J70" s="1702"/>
      <c r="K70" s="1705">
        <f>L59</f>
        <v>18285.68</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2" priority="18" stopIfTrue="1">
      <formula>#REF!=TRUE</formula>
    </cfRule>
  </conditionalFormatting>
  <conditionalFormatting sqref="L69 L67 L71">
    <cfRule type="cellIs" dxfId="3891" priority="17" stopIfTrue="1" operator="notEqual">
      <formula>0</formula>
    </cfRule>
  </conditionalFormatting>
  <conditionalFormatting sqref="E64:F64">
    <cfRule type="expression" dxfId="3890" priority="16" stopIfTrue="1">
      <formula>#REF!=TRUE</formula>
    </cfRule>
  </conditionalFormatting>
  <conditionalFormatting sqref="L68 L66 L70">
    <cfRule type="cellIs" dxfId="3889" priority="15" stopIfTrue="1" operator="notEqual">
      <formula>0</formula>
    </cfRule>
  </conditionalFormatting>
  <conditionalFormatting sqref="E64:F64">
    <cfRule type="expression" dxfId="3888" priority="14" stopIfTrue="1">
      <formula>#REF!=TRUE</formula>
    </cfRule>
  </conditionalFormatting>
  <conditionalFormatting sqref="L68 L66 L70">
    <cfRule type="cellIs" dxfId="3887" priority="13" stopIfTrue="1" operator="notEqual">
      <formula>0</formula>
    </cfRule>
  </conditionalFormatting>
  <conditionalFormatting sqref="L69 L67">
    <cfRule type="cellIs" dxfId="3886" priority="12" stopIfTrue="1" operator="notEqual">
      <formula>0</formula>
    </cfRule>
  </conditionalFormatting>
  <conditionalFormatting sqref="L68 L70">
    <cfRule type="cellIs" dxfId="3885" priority="11" stopIfTrue="1" operator="notEqual">
      <formula>0</formula>
    </cfRule>
  </conditionalFormatting>
  <conditionalFormatting sqref="L68 L70">
    <cfRule type="cellIs" dxfId="3884" priority="10" stopIfTrue="1" operator="notEqual">
      <formula>0</formula>
    </cfRule>
  </conditionalFormatting>
  <conditionalFormatting sqref="E65:F65">
    <cfRule type="expression" dxfId="3883" priority="9" stopIfTrue="1">
      <formula>#REF!=TRUE</formula>
    </cfRule>
  </conditionalFormatting>
  <conditionalFormatting sqref="L69 L67">
    <cfRule type="cellIs" dxfId="3882" priority="8" stopIfTrue="1" operator="notEqual">
      <formula>0</formula>
    </cfRule>
  </conditionalFormatting>
  <conditionalFormatting sqref="E64:F64">
    <cfRule type="expression" dxfId="3881" priority="7" stopIfTrue="1">
      <formula>#REF!=TRUE</formula>
    </cfRule>
  </conditionalFormatting>
  <conditionalFormatting sqref="L68 L66 L70">
    <cfRule type="cellIs" dxfId="3880" priority="6" stopIfTrue="1" operator="notEqual">
      <formula>0</formula>
    </cfRule>
  </conditionalFormatting>
  <conditionalFormatting sqref="E64:F64">
    <cfRule type="expression" dxfId="3879" priority="5" stopIfTrue="1">
      <formula>#REF!=TRUE</formula>
    </cfRule>
  </conditionalFormatting>
  <conditionalFormatting sqref="L68 L66 L70">
    <cfRule type="cellIs" dxfId="3878" priority="4" stopIfTrue="1" operator="notEqual">
      <formula>0</formula>
    </cfRule>
  </conditionalFormatting>
  <conditionalFormatting sqref="L69 L67">
    <cfRule type="cellIs" dxfId="3877" priority="3" stopIfTrue="1" operator="notEqual">
      <formula>0</formula>
    </cfRule>
  </conditionalFormatting>
  <conditionalFormatting sqref="L68 L70">
    <cfRule type="cellIs" dxfId="3876" priority="2" stopIfTrue="1" operator="notEqual">
      <formula>0</formula>
    </cfRule>
  </conditionalFormatting>
  <conditionalFormatting sqref="L68 L70">
    <cfRule type="cellIs" dxfId="387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3"/>
  <cols>
    <col min="1" max="2" width="9.765625E-2" style="2797" customWidth="1"/>
    <col min="3" max="3" width="82.69921875" style="1665" customWidth="1"/>
    <col min="4" max="4" width="12.69921875" style="1665" customWidth="1"/>
    <col min="5" max="6" width="22.69921875" style="1665" customWidth="1"/>
    <col min="7" max="256" width="9.09765625" style="1665"/>
    <col min="257" max="258" width="9.765625E-2" style="1665" customWidth="1"/>
    <col min="259" max="259" width="78.69921875" style="1665" customWidth="1"/>
    <col min="260" max="260" width="8.69921875" style="1665" customWidth="1"/>
    <col min="261" max="262" width="20.69921875" style="1665" customWidth="1"/>
    <col min="263" max="512" width="9.09765625" style="1665"/>
    <col min="513" max="514" width="9.765625E-2" style="1665" customWidth="1"/>
    <col min="515" max="515" width="78.69921875" style="1665" customWidth="1"/>
    <col min="516" max="516" width="8.69921875" style="1665" customWidth="1"/>
    <col min="517" max="518" width="20.69921875" style="1665" customWidth="1"/>
    <col min="519" max="768" width="9.09765625" style="1665"/>
    <col min="769" max="770" width="9.765625E-2" style="1665" customWidth="1"/>
    <col min="771" max="771" width="78.69921875" style="1665" customWidth="1"/>
    <col min="772" max="772" width="8.69921875" style="1665" customWidth="1"/>
    <col min="773" max="774" width="20.69921875" style="1665" customWidth="1"/>
    <col min="775" max="1024" width="9.09765625" style="1665"/>
    <col min="1025" max="1026" width="9.765625E-2" style="1665" customWidth="1"/>
    <col min="1027" max="1027" width="78.69921875" style="1665" customWidth="1"/>
    <col min="1028" max="1028" width="8.69921875" style="1665" customWidth="1"/>
    <col min="1029" max="1030" width="20.69921875" style="1665" customWidth="1"/>
    <col min="1031" max="1280" width="9.09765625" style="1665"/>
    <col min="1281" max="1282" width="9.765625E-2" style="1665" customWidth="1"/>
    <col min="1283" max="1283" width="78.69921875" style="1665" customWidth="1"/>
    <col min="1284" max="1284" width="8.69921875" style="1665" customWidth="1"/>
    <col min="1285" max="1286" width="20.69921875" style="1665" customWidth="1"/>
    <col min="1287" max="1536" width="9.09765625" style="1665"/>
    <col min="1537" max="1538" width="9.765625E-2" style="1665" customWidth="1"/>
    <col min="1539" max="1539" width="78.69921875" style="1665" customWidth="1"/>
    <col min="1540" max="1540" width="8.69921875" style="1665" customWidth="1"/>
    <col min="1541" max="1542" width="20.69921875" style="1665" customWidth="1"/>
    <col min="1543" max="1792" width="9.09765625" style="1665"/>
    <col min="1793" max="1794" width="9.765625E-2" style="1665" customWidth="1"/>
    <col min="1795" max="1795" width="78.69921875" style="1665" customWidth="1"/>
    <col min="1796" max="1796" width="8.69921875" style="1665" customWidth="1"/>
    <col min="1797" max="1798" width="20.69921875" style="1665" customWidth="1"/>
    <col min="1799" max="2048" width="9.09765625" style="1665"/>
    <col min="2049" max="2050" width="9.765625E-2" style="1665" customWidth="1"/>
    <col min="2051" max="2051" width="78.69921875" style="1665" customWidth="1"/>
    <col min="2052" max="2052" width="8.69921875" style="1665" customWidth="1"/>
    <col min="2053" max="2054" width="20.69921875" style="1665" customWidth="1"/>
    <col min="2055" max="2304" width="9.09765625" style="1665"/>
    <col min="2305" max="2306" width="9.765625E-2" style="1665" customWidth="1"/>
    <col min="2307" max="2307" width="78.69921875" style="1665" customWidth="1"/>
    <col min="2308" max="2308" width="8.69921875" style="1665" customWidth="1"/>
    <col min="2309" max="2310" width="20.69921875" style="1665" customWidth="1"/>
    <col min="2311" max="2560" width="9.09765625" style="1665"/>
    <col min="2561" max="2562" width="9.765625E-2" style="1665" customWidth="1"/>
    <col min="2563" max="2563" width="78.69921875" style="1665" customWidth="1"/>
    <col min="2564" max="2564" width="8.69921875" style="1665" customWidth="1"/>
    <col min="2565" max="2566" width="20.69921875" style="1665" customWidth="1"/>
    <col min="2567" max="2816" width="9.09765625" style="1665"/>
    <col min="2817" max="2818" width="9.765625E-2" style="1665" customWidth="1"/>
    <col min="2819" max="2819" width="78.69921875" style="1665" customWidth="1"/>
    <col min="2820" max="2820" width="8.69921875" style="1665" customWidth="1"/>
    <col min="2821" max="2822" width="20.69921875" style="1665" customWidth="1"/>
    <col min="2823" max="3072" width="9.09765625" style="1665"/>
    <col min="3073" max="3074" width="9.765625E-2" style="1665" customWidth="1"/>
    <col min="3075" max="3075" width="78.69921875" style="1665" customWidth="1"/>
    <col min="3076" max="3076" width="8.69921875" style="1665" customWidth="1"/>
    <col min="3077" max="3078" width="20.69921875" style="1665" customWidth="1"/>
    <col min="3079" max="3328" width="9.09765625" style="1665"/>
    <col min="3329" max="3330" width="9.765625E-2" style="1665" customWidth="1"/>
    <col min="3331" max="3331" width="78.69921875" style="1665" customWidth="1"/>
    <col min="3332" max="3332" width="8.69921875" style="1665" customWidth="1"/>
    <col min="3333" max="3334" width="20.69921875" style="1665" customWidth="1"/>
    <col min="3335" max="3584" width="9.09765625" style="1665"/>
    <col min="3585" max="3586" width="9.765625E-2" style="1665" customWidth="1"/>
    <col min="3587" max="3587" width="78.69921875" style="1665" customWidth="1"/>
    <col min="3588" max="3588" width="8.69921875" style="1665" customWidth="1"/>
    <col min="3589" max="3590" width="20.69921875" style="1665" customWidth="1"/>
    <col min="3591" max="3840" width="9.09765625" style="1665"/>
    <col min="3841" max="3842" width="9.765625E-2" style="1665" customWidth="1"/>
    <col min="3843" max="3843" width="78.69921875" style="1665" customWidth="1"/>
    <col min="3844" max="3844" width="8.69921875" style="1665" customWidth="1"/>
    <col min="3845" max="3846" width="20.69921875" style="1665" customWidth="1"/>
    <col min="3847" max="4096" width="9.09765625" style="1665"/>
    <col min="4097" max="4098" width="9.765625E-2" style="1665" customWidth="1"/>
    <col min="4099" max="4099" width="78.69921875" style="1665" customWidth="1"/>
    <col min="4100" max="4100" width="8.69921875" style="1665" customWidth="1"/>
    <col min="4101" max="4102" width="20.69921875" style="1665" customWidth="1"/>
    <col min="4103" max="4352" width="9.09765625" style="1665"/>
    <col min="4353" max="4354" width="9.765625E-2" style="1665" customWidth="1"/>
    <col min="4355" max="4355" width="78.69921875" style="1665" customWidth="1"/>
    <col min="4356" max="4356" width="8.69921875" style="1665" customWidth="1"/>
    <col min="4357" max="4358" width="20.69921875" style="1665" customWidth="1"/>
    <col min="4359" max="4608" width="9.09765625" style="1665"/>
    <col min="4609" max="4610" width="9.765625E-2" style="1665" customWidth="1"/>
    <col min="4611" max="4611" width="78.69921875" style="1665" customWidth="1"/>
    <col min="4612" max="4612" width="8.69921875" style="1665" customWidth="1"/>
    <col min="4613" max="4614" width="20.69921875" style="1665" customWidth="1"/>
    <col min="4615" max="4864" width="9.09765625" style="1665"/>
    <col min="4865" max="4866" width="9.765625E-2" style="1665" customWidth="1"/>
    <col min="4867" max="4867" width="78.69921875" style="1665" customWidth="1"/>
    <col min="4868" max="4868" width="8.69921875" style="1665" customWidth="1"/>
    <col min="4869" max="4870" width="20.69921875" style="1665" customWidth="1"/>
    <col min="4871" max="5120" width="9.09765625" style="1665"/>
    <col min="5121" max="5122" width="9.765625E-2" style="1665" customWidth="1"/>
    <col min="5123" max="5123" width="78.69921875" style="1665" customWidth="1"/>
    <col min="5124" max="5124" width="8.69921875" style="1665" customWidth="1"/>
    <col min="5125" max="5126" width="20.69921875" style="1665" customWidth="1"/>
    <col min="5127" max="5376" width="9.09765625" style="1665"/>
    <col min="5377" max="5378" width="9.765625E-2" style="1665" customWidth="1"/>
    <col min="5379" max="5379" width="78.69921875" style="1665" customWidth="1"/>
    <col min="5380" max="5380" width="8.69921875" style="1665" customWidth="1"/>
    <col min="5381" max="5382" width="20.69921875" style="1665" customWidth="1"/>
    <col min="5383" max="5632" width="9.09765625" style="1665"/>
    <col min="5633" max="5634" width="9.765625E-2" style="1665" customWidth="1"/>
    <col min="5635" max="5635" width="78.69921875" style="1665" customWidth="1"/>
    <col min="5636" max="5636" width="8.69921875" style="1665" customWidth="1"/>
    <col min="5637" max="5638" width="20.69921875" style="1665" customWidth="1"/>
    <col min="5639" max="5888" width="9.09765625" style="1665"/>
    <col min="5889" max="5890" width="9.765625E-2" style="1665" customWidth="1"/>
    <col min="5891" max="5891" width="78.69921875" style="1665" customWidth="1"/>
    <col min="5892" max="5892" width="8.69921875" style="1665" customWidth="1"/>
    <col min="5893" max="5894" width="20.69921875" style="1665" customWidth="1"/>
    <col min="5895" max="6144" width="9.09765625" style="1665"/>
    <col min="6145" max="6146" width="9.765625E-2" style="1665" customWidth="1"/>
    <col min="6147" max="6147" width="78.69921875" style="1665" customWidth="1"/>
    <col min="6148" max="6148" width="8.69921875" style="1665" customWidth="1"/>
    <col min="6149" max="6150" width="20.69921875" style="1665" customWidth="1"/>
    <col min="6151" max="6400" width="9.09765625" style="1665"/>
    <col min="6401" max="6402" width="9.765625E-2" style="1665" customWidth="1"/>
    <col min="6403" max="6403" width="78.69921875" style="1665" customWidth="1"/>
    <col min="6404" max="6404" width="8.69921875" style="1665" customWidth="1"/>
    <col min="6405" max="6406" width="20.69921875" style="1665" customWidth="1"/>
    <col min="6407" max="6656" width="9.09765625" style="1665"/>
    <col min="6657" max="6658" width="9.765625E-2" style="1665" customWidth="1"/>
    <col min="6659" max="6659" width="78.69921875" style="1665" customWidth="1"/>
    <col min="6660" max="6660" width="8.69921875" style="1665" customWidth="1"/>
    <col min="6661" max="6662" width="20.69921875" style="1665" customWidth="1"/>
    <col min="6663" max="6912" width="9.09765625" style="1665"/>
    <col min="6913" max="6914" width="9.765625E-2" style="1665" customWidth="1"/>
    <col min="6915" max="6915" width="78.69921875" style="1665" customWidth="1"/>
    <col min="6916" max="6916" width="8.69921875" style="1665" customWidth="1"/>
    <col min="6917" max="6918" width="20.69921875" style="1665" customWidth="1"/>
    <col min="6919" max="7168" width="9.09765625" style="1665"/>
    <col min="7169" max="7170" width="9.765625E-2" style="1665" customWidth="1"/>
    <col min="7171" max="7171" width="78.69921875" style="1665" customWidth="1"/>
    <col min="7172" max="7172" width="8.69921875" style="1665" customWidth="1"/>
    <col min="7173" max="7174" width="20.69921875" style="1665" customWidth="1"/>
    <col min="7175" max="7424" width="9.09765625" style="1665"/>
    <col min="7425" max="7426" width="9.765625E-2" style="1665" customWidth="1"/>
    <col min="7427" max="7427" width="78.69921875" style="1665" customWidth="1"/>
    <col min="7428" max="7428" width="8.69921875" style="1665" customWidth="1"/>
    <col min="7429" max="7430" width="20.69921875" style="1665" customWidth="1"/>
    <col min="7431" max="7680" width="9.09765625" style="1665"/>
    <col min="7681" max="7682" width="9.765625E-2" style="1665" customWidth="1"/>
    <col min="7683" max="7683" width="78.69921875" style="1665" customWidth="1"/>
    <col min="7684" max="7684" width="8.69921875" style="1665" customWidth="1"/>
    <col min="7685" max="7686" width="20.69921875" style="1665" customWidth="1"/>
    <col min="7687" max="7936" width="9.09765625" style="1665"/>
    <col min="7937" max="7938" width="9.765625E-2" style="1665" customWidth="1"/>
    <col min="7939" max="7939" width="78.69921875" style="1665" customWidth="1"/>
    <col min="7940" max="7940" width="8.69921875" style="1665" customWidth="1"/>
    <col min="7941" max="7942" width="20.69921875" style="1665" customWidth="1"/>
    <col min="7943" max="8192" width="9.09765625" style="1665"/>
    <col min="8193" max="8194" width="9.765625E-2" style="1665" customWidth="1"/>
    <col min="8195" max="8195" width="78.69921875" style="1665" customWidth="1"/>
    <col min="8196" max="8196" width="8.69921875" style="1665" customWidth="1"/>
    <col min="8197" max="8198" width="20.69921875" style="1665" customWidth="1"/>
    <col min="8199" max="8448" width="9.09765625" style="1665"/>
    <col min="8449" max="8450" width="9.765625E-2" style="1665" customWidth="1"/>
    <col min="8451" max="8451" width="78.69921875" style="1665" customWidth="1"/>
    <col min="8452" max="8452" width="8.69921875" style="1665" customWidth="1"/>
    <col min="8453" max="8454" width="20.69921875" style="1665" customWidth="1"/>
    <col min="8455" max="8704" width="9.09765625" style="1665"/>
    <col min="8705" max="8706" width="9.765625E-2" style="1665" customWidth="1"/>
    <col min="8707" max="8707" width="78.69921875" style="1665" customWidth="1"/>
    <col min="8708" max="8708" width="8.69921875" style="1665" customWidth="1"/>
    <col min="8709" max="8710" width="20.69921875" style="1665" customWidth="1"/>
    <col min="8711" max="8960" width="9.09765625" style="1665"/>
    <col min="8961" max="8962" width="9.765625E-2" style="1665" customWidth="1"/>
    <col min="8963" max="8963" width="78.69921875" style="1665" customWidth="1"/>
    <col min="8964" max="8964" width="8.69921875" style="1665" customWidth="1"/>
    <col min="8965" max="8966" width="20.69921875" style="1665" customWidth="1"/>
    <col min="8967" max="9216" width="9.09765625" style="1665"/>
    <col min="9217" max="9218" width="9.765625E-2" style="1665" customWidth="1"/>
    <col min="9219" max="9219" width="78.69921875" style="1665" customWidth="1"/>
    <col min="9220" max="9220" width="8.69921875" style="1665" customWidth="1"/>
    <col min="9221" max="9222" width="20.69921875" style="1665" customWidth="1"/>
    <col min="9223" max="9472" width="9.09765625" style="1665"/>
    <col min="9473" max="9474" width="9.765625E-2" style="1665" customWidth="1"/>
    <col min="9475" max="9475" width="78.69921875" style="1665" customWidth="1"/>
    <col min="9476" max="9476" width="8.69921875" style="1665" customWidth="1"/>
    <col min="9477" max="9478" width="20.69921875" style="1665" customWidth="1"/>
    <col min="9479" max="9728" width="9.09765625" style="1665"/>
    <col min="9729" max="9730" width="9.765625E-2" style="1665" customWidth="1"/>
    <col min="9731" max="9731" width="78.69921875" style="1665" customWidth="1"/>
    <col min="9732" max="9732" width="8.69921875" style="1665" customWidth="1"/>
    <col min="9733" max="9734" width="20.69921875" style="1665" customWidth="1"/>
    <col min="9735" max="9984" width="9.09765625" style="1665"/>
    <col min="9985" max="9986" width="9.765625E-2" style="1665" customWidth="1"/>
    <col min="9987" max="9987" width="78.69921875" style="1665" customWidth="1"/>
    <col min="9988" max="9988" width="8.69921875" style="1665" customWidth="1"/>
    <col min="9989" max="9990" width="20.69921875" style="1665" customWidth="1"/>
    <col min="9991" max="10240" width="9.09765625" style="1665"/>
    <col min="10241" max="10242" width="9.765625E-2" style="1665" customWidth="1"/>
    <col min="10243" max="10243" width="78.69921875" style="1665" customWidth="1"/>
    <col min="10244" max="10244" width="8.69921875" style="1665" customWidth="1"/>
    <col min="10245" max="10246" width="20.69921875" style="1665" customWidth="1"/>
    <col min="10247" max="10496" width="9.09765625" style="1665"/>
    <col min="10497" max="10498" width="9.765625E-2" style="1665" customWidth="1"/>
    <col min="10499" max="10499" width="78.69921875" style="1665" customWidth="1"/>
    <col min="10500" max="10500" width="8.69921875" style="1665" customWidth="1"/>
    <col min="10501" max="10502" width="20.69921875" style="1665" customWidth="1"/>
    <col min="10503" max="10752" width="9.09765625" style="1665"/>
    <col min="10753" max="10754" width="9.765625E-2" style="1665" customWidth="1"/>
    <col min="10755" max="10755" width="78.69921875" style="1665" customWidth="1"/>
    <col min="10756" max="10756" width="8.69921875" style="1665" customWidth="1"/>
    <col min="10757" max="10758" width="20.69921875" style="1665" customWidth="1"/>
    <col min="10759" max="11008" width="9.09765625" style="1665"/>
    <col min="11009" max="11010" width="9.765625E-2" style="1665" customWidth="1"/>
    <col min="11011" max="11011" width="78.69921875" style="1665" customWidth="1"/>
    <col min="11012" max="11012" width="8.69921875" style="1665" customWidth="1"/>
    <col min="11013" max="11014" width="20.69921875" style="1665" customWidth="1"/>
    <col min="11015" max="11264" width="9.09765625" style="1665"/>
    <col min="11265" max="11266" width="9.765625E-2" style="1665" customWidth="1"/>
    <col min="11267" max="11267" width="78.69921875" style="1665" customWidth="1"/>
    <col min="11268" max="11268" width="8.69921875" style="1665" customWidth="1"/>
    <col min="11269" max="11270" width="20.69921875" style="1665" customWidth="1"/>
    <col min="11271" max="11520" width="9.09765625" style="1665"/>
    <col min="11521" max="11522" width="9.765625E-2" style="1665" customWidth="1"/>
    <col min="11523" max="11523" width="78.69921875" style="1665" customWidth="1"/>
    <col min="11524" max="11524" width="8.69921875" style="1665" customWidth="1"/>
    <col min="11525" max="11526" width="20.69921875" style="1665" customWidth="1"/>
    <col min="11527" max="11776" width="9.09765625" style="1665"/>
    <col min="11777" max="11778" width="9.765625E-2" style="1665" customWidth="1"/>
    <col min="11779" max="11779" width="78.69921875" style="1665" customWidth="1"/>
    <col min="11780" max="11780" width="8.69921875" style="1665" customWidth="1"/>
    <col min="11781" max="11782" width="20.69921875" style="1665" customWidth="1"/>
    <col min="11783" max="12032" width="9.09765625" style="1665"/>
    <col min="12033" max="12034" width="9.765625E-2" style="1665" customWidth="1"/>
    <col min="12035" max="12035" width="78.69921875" style="1665" customWidth="1"/>
    <col min="12036" max="12036" width="8.69921875" style="1665" customWidth="1"/>
    <col min="12037" max="12038" width="20.69921875" style="1665" customWidth="1"/>
    <col min="12039" max="12288" width="9.09765625" style="1665"/>
    <col min="12289" max="12290" width="9.765625E-2" style="1665" customWidth="1"/>
    <col min="12291" max="12291" width="78.69921875" style="1665" customWidth="1"/>
    <col min="12292" max="12292" width="8.69921875" style="1665" customWidth="1"/>
    <col min="12293" max="12294" width="20.69921875" style="1665" customWidth="1"/>
    <col min="12295" max="12544" width="9.09765625" style="1665"/>
    <col min="12545" max="12546" width="9.765625E-2" style="1665" customWidth="1"/>
    <col min="12547" max="12547" width="78.69921875" style="1665" customWidth="1"/>
    <col min="12548" max="12548" width="8.69921875" style="1665" customWidth="1"/>
    <col min="12549" max="12550" width="20.69921875" style="1665" customWidth="1"/>
    <col min="12551" max="12800" width="9.09765625" style="1665"/>
    <col min="12801" max="12802" width="9.765625E-2" style="1665" customWidth="1"/>
    <col min="12803" max="12803" width="78.69921875" style="1665" customWidth="1"/>
    <col min="12804" max="12804" width="8.69921875" style="1665" customWidth="1"/>
    <col min="12805" max="12806" width="20.69921875" style="1665" customWidth="1"/>
    <col min="12807" max="13056" width="9.09765625" style="1665"/>
    <col min="13057" max="13058" width="9.765625E-2" style="1665" customWidth="1"/>
    <col min="13059" max="13059" width="78.69921875" style="1665" customWidth="1"/>
    <col min="13060" max="13060" width="8.69921875" style="1665" customWidth="1"/>
    <col min="13061" max="13062" width="20.69921875" style="1665" customWidth="1"/>
    <col min="13063" max="13312" width="9.09765625" style="1665"/>
    <col min="13313" max="13314" width="9.765625E-2" style="1665" customWidth="1"/>
    <col min="13315" max="13315" width="78.69921875" style="1665" customWidth="1"/>
    <col min="13316" max="13316" width="8.69921875" style="1665" customWidth="1"/>
    <col min="13317" max="13318" width="20.69921875" style="1665" customWidth="1"/>
    <col min="13319" max="13568" width="9.09765625" style="1665"/>
    <col min="13569" max="13570" width="9.765625E-2" style="1665" customWidth="1"/>
    <col min="13571" max="13571" width="78.69921875" style="1665" customWidth="1"/>
    <col min="13572" max="13572" width="8.69921875" style="1665" customWidth="1"/>
    <col min="13573" max="13574" width="20.69921875" style="1665" customWidth="1"/>
    <col min="13575" max="13824" width="9.09765625" style="1665"/>
    <col min="13825" max="13826" width="9.765625E-2" style="1665" customWidth="1"/>
    <col min="13827" max="13827" width="78.69921875" style="1665" customWidth="1"/>
    <col min="13828" max="13828" width="8.69921875" style="1665" customWidth="1"/>
    <col min="13829" max="13830" width="20.69921875" style="1665" customWidth="1"/>
    <col min="13831" max="14080" width="9.09765625" style="1665"/>
    <col min="14081" max="14082" width="9.765625E-2" style="1665" customWidth="1"/>
    <col min="14083" max="14083" width="78.69921875" style="1665" customWidth="1"/>
    <col min="14084" max="14084" width="8.69921875" style="1665" customWidth="1"/>
    <col min="14085" max="14086" width="20.69921875" style="1665" customWidth="1"/>
    <col min="14087" max="14336" width="9.09765625" style="1665"/>
    <col min="14337" max="14338" width="9.765625E-2" style="1665" customWidth="1"/>
    <col min="14339" max="14339" width="78.69921875" style="1665" customWidth="1"/>
    <col min="14340" max="14340" width="8.69921875" style="1665" customWidth="1"/>
    <col min="14341" max="14342" width="20.69921875" style="1665" customWidth="1"/>
    <col min="14343" max="14592" width="9.09765625" style="1665"/>
    <col min="14593" max="14594" width="9.765625E-2" style="1665" customWidth="1"/>
    <col min="14595" max="14595" width="78.69921875" style="1665" customWidth="1"/>
    <col min="14596" max="14596" width="8.69921875" style="1665" customWidth="1"/>
    <col min="14597" max="14598" width="20.69921875" style="1665" customWidth="1"/>
    <col min="14599" max="14848" width="9.09765625" style="1665"/>
    <col min="14849" max="14850" width="9.765625E-2" style="1665" customWidth="1"/>
    <col min="14851" max="14851" width="78.69921875" style="1665" customWidth="1"/>
    <col min="14852" max="14852" width="8.69921875" style="1665" customWidth="1"/>
    <col min="14853" max="14854" width="20.69921875" style="1665" customWidth="1"/>
    <col min="14855" max="15104" width="9.09765625" style="1665"/>
    <col min="15105" max="15106" width="9.765625E-2" style="1665" customWidth="1"/>
    <col min="15107" max="15107" width="78.69921875" style="1665" customWidth="1"/>
    <col min="15108" max="15108" width="8.69921875" style="1665" customWidth="1"/>
    <col min="15109" max="15110" width="20.69921875" style="1665" customWidth="1"/>
    <col min="15111" max="15360" width="9.09765625" style="1665"/>
    <col min="15361" max="15362" width="9.765625E-2" style="1665" customWidth="1"/>
    <col min="15363" max="15363" width="78.69921875" style="1665" customWidth="1"/>
    <col min="15364" max="15364" width="8.69921875" style="1665" customWidth="1"/>
    <col min="15365" max="15366" width="20.69921875" style="1665" customWidth="1"/>
    <col min="15367" max="15616" width="9.09765625" style="1665"/>
    <col min="15617" max="15618" width="9.765625E-2" style="1665" customWidth="1"/>
    <col min="15619" max="15619" width="78.69921875" style="1665" customWidth="1"/>
    <col min="15620" max="15620" width="8.69921875" style="1665" customWidth="1"/>
    <col min="15621" max="15622" width="20.69921875" style="1665" customWidth="1"/>
    <col min="15623" max="15872" width="9.09765625" style="1665"/>
    <col min="15873" max="15874" width="9.765625E-2" style="1665" customWidth="1"/>
    <col min="15875" max="15875" width="78.69921875" style="1665" customWidth="1"/>
    <col min="15876" max="15876" width="8.69921875" style="1665" customWidth="1"/>
    <col min="15877" max="15878" width="20.69921875" style="1665" customWidth="1"/>
    <col min="15879" max="16128" width="9.09765625" style="1665"/>
    <col min="16129" max="16130" width="9.765625E-2" style="1665" customWidth="1"/>
    <col min="16131" max="16131" width="78.69921875" style="1665" customWidth="1"/>
    <col min="16132" max="16132" width="8.69921875" style="1665" customWidth="1"/>
    <col min="16133" max="16134" width="20.69921875" style="1665" customWidth="1"/>
    <col min="16135" max="16384" width="9.09765625" style="1665"/>
  </cols>
  <sheetData>
    <row r="1" spans="1:10">
      <c r="A1" s="2840"/>
      <c r="B1" s="2841"/>
      <c r="C1" s="1662"/>
      <c r="D1" s="1662"/>
      <c r="E1" s="1662"/>
      <c r="F1" s="1662"/>
      <c r="G1" s="1664"/>
      <c r="H1" s="1664"/>
      <c r="I1" s="1707"/>
      <c r="J1" s="1664"/>
    </row>
    <row r="2" spans="1:10" ht="27.75" customHeight="1">
      <c r="A2" s="2840"/>
      <c r="B2" s="2841"/>
      <c r="C2" s="3114" t="s">
        <v>5809</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编制单位：余江县天骏投资管理有限公司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0</v>
      </c>
      <c r="F7" s="2149">
        <f>SUM(F8:F11)</f>
        <v>0</v>
      </c>
      <c r="G7" s="1710"/>
      <c r="H7" s="1710"/>
      <c r="I7" s="852"/>
      <c r="J7" s="1664"/>
    </row>
    <row r="8" spans="1:10" ht="18" customHeight="1">
      <c r="A8" s="2853">
        <f t="shared" si="0"/>
        <v>0</v>
      </c>
      <c r="B8" s="2854">
        <v>6001</v>
      </c>
      <c r="C8" s="2150" t="str">
        <f t="shared" si="1"/>
        <v>其中：营业收入</v>
      </c>
      <c r="D8" s="2151"/>
      <c r="E8" s="2125">
        <f>IF($B8="","",VLOOKUP($B8,Sheet_Trialbal,6,0))</f>
        <v>0</v>
      </c>
      <c r="F8" s="2128">
        <f>IF($B8="","",VLOOKUP($B8,Sheet_Trialbal,10,0))</f>
        <v>0</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2324.91</v>
      </c>
      <c r="F12" s="2149">
        <f>SUM(F13:F25)</f>
        <v>1714.32</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0</v>
      </c>
      <c r="F13" s="2128">
        <f t="shared" ref="F13:F37" si="3">IF($B13="","",VLOOKUP($B13,Sheet_Trialbal,10,0))</f>
        <v>0</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0</v>
      </c>
      <c r="F21" s="2128">
        <f t="shared" si="3"/>
        <v>0</v>
      </c>
      <c r="G21" s="1710"/>
      <c r="H21" s="1710"/>
      <c r="I21" s="852"/>
      <c r="J21" s="1664"/>
    </row>
    <row r="22" spans="1:10" ht="18" customHeight="1">
      <c r="A22" s="2853">
        <f t="shared" si="0"/>
        <v>0</v>
      </c>
      <c r="B22" s="2854">
        <v>6601</v>
      </c>
      <c r="C22" s="2152" t="str">
        <f t="shared" si="1"/>
        <v>销售费用</v>
      </c>
      <c r="D22" s="2151"/>
      <c r="E22" s="2125">
        <f t="shared" si="2"/>
        <v>0</v>
      </c>
      <c r="F22" s="2128">
        <f t="shared" si="3"/>
        <v>0</v>
      </c>
      <c r="G22" s="1710"/>
      <c r="H22" s="1710"/>
      <c r="I22" s="852"/>
      <c r="J22" s="1664"/>
    </row>
    <row r="23" spans="1:10" ht="18" customHeight="1">
      <c r="A23" s="2853">
        <f t="shared" si="0"/>
        <v>0</v>
      </c>
      <c r="B23" s="2854">
        <v>6602</v>
      </c>
      <c r="C23" s="2152" t="str">
        <f t="shared" si="1"/>
        <v>管理费用</v>
      </c>
      <c r="D23" s="2151"/>
      <c r="E23" s="2125">
        <f t="shared" si="2"/>
        <v>1000</v>
      </c>
      <c r="F23" s="2128">
        <f t="shared" si="3"/>
        <v>580</v>
      </c>
      <c r="G23" s="1710"/>
      <c r="H23" s="1710"/>
      <c r="I23" s="852"/>
      <c r="J23" s="1664"/>
    </row>
    <row r="24" spans="1:10" ht="18" customHeight="1">
      <c r="A24" s="2853">
        <f t="shared" si="0"/>
        <v>0</v>
      </c>
      <c r="B24" s="2854">
        <v>6606</v>
      </c>
      <c r="C24" s="2152" t="str">
        <f t="shared" si="1"/>
        <v>研发费用</v>
      </c>
      <c r="D24" s="2151"/>
      <c r="E24" s="2125">
        <f t="shared" si="2"/>
        <v>0</v>
      </c>
      <c r="F24" s="2128">
        <f t="shared" si="3"/>
        <v>0</v>
      </c>
      <c r="G24" s="1710"/>
      <c r="H24" s="1710"/>
      <c r="I24" s="852"/>
      <c r="J24" s="1664"/>
    </row>
    <row r="25" spans="1:10" ht="18" customHeight="1">
      <c r="A25" s="2853">
        <f t="shared" si="0"/>
        <v>0</v>
      </c>
      <c r="B25" s="2854">
        <v>6603</v>
      </c>
      <c r="C25" s="2152" t="str">
        <f t="shared" si="1"/>
        <v>财务费用</v>
      </c>
      <c r="D25" s="2151"/>
      <c r="E25" s="2125">
        <f t="shared" si="2"/>
        <v>1324.91</v>
      </c>
      <c r="F25" s="2128">
        <f t="shared" si="3"/>
        <v>1134.32</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0</v>
      </c>
      <c r="G26" s="1710"/>
      <c r="H26" s="1710"/>
      <c r="I26" s="852"/>
      <c r="J26" s="1664"/>
    </row>
    <row r="27" spans="1:10" ht="18" customHeight="1">
      <c r="A27" s="2853">
        <f t="shared" si="0"/>
        <v>0</v>
      </c>
      <c r="B27" s="2854" t="s">
        <v>810</v>
      </c>
      <c r="C27" s="2154" t="str">
        <f t="shared" si="1"/>
        <v>利息收入</v>
      </c>
      <c r="D27" s="2151"/>
      <c r="E27" s="2125">
        <f t="shared" si="2"/>
        <v>50.09</v>
      </c>
      <c r="F27" s="2128">
        <f t="shared" si="3"/>
        <v>33.44</v>
      </c>
      <c r="G27" s="1710"/>
      <c r="H27" s="1710"/>
      <c r="I27" s="852"/>
      <c r="J27" s="1664"/>
    </row>
    <row r="28" spans="1:10" ht="18" customHeight="1">
      <c r="A28" s="2853">
        <f t="shared" si="0"/>
        <v>0</v>
      </c>
      <c r="B28" s="2854">
        <v>6181</v>
      </c>
      <c r="C28" s="2152" t="str">
        <f t="shared" si="1"/>
        <v>加：其他收益</v>
      </c>
      <c r="D28" s="2151"/>
      <c r="E28" s="2125">
        <f t="shared" si="2"/>
        <v>0</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0</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0</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-2324.91</v>
      </c>
      <c r="F38" s="2149">
        <f>SUM(F8:F11)-SUM(F13:F25)+SUM(F28:F37)-SUM(F30,F31)</f>
        <v>-1714.32</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-2324.91</v>
      </c>
      <c r="F41" s="2149">
        <f>SUM(F38,F39,-F40)</f>
        <v>-1714.32</v>
      </c>
      <c r="G41" s="1711"/>
      <c r="H41" s="1711"/>
      <c r="I41" s="852"/>
      <c r="J41" s="1664"/>
    </row>
    <row r="42" spans="1:10" ht="18" customHeight="1">
      <c r="A42" s="2853">
        <f t="shared" si="0"/>
        <v>0</v>
      </c>
      <c r="B42" s="2857">
        <v>6791</v>
      </c>
      <c r="C42" s="2150" t="str">
        <f t="shared" si="4"/>
        <v>减：所得税费用</v>
      </c>
      <c r="D42" s="2151"/>
      <c r="E42" s="2125">
        <f>IF($B42="","",VLOOKUP($B42,Sheet_Trialbal,6,0))</f>
        <v>0</v>
      </c>
      <c r="F42" s="2128">
        <f>IF($B42="","",VLOOKUP($B42,Sheet_Trialbal,10,0))</f>
        <v>0</v>
      </c>
      <c r="G42" s="1710"/>
      <c r="H42" s="1710"/>
      <c r="I42" s="852"/>
      <c r="J42" s="1664"/>
    </row>
    <row r="43" spans="1:10" ht="18" customHeight="1">
      <c r="A43" s="2853" t="str">
        <f t="shared" si="0"/>
        <v>＝</v>
      </c>
      <c r="B43" s="2857">
        <v>6799</v>
      </c>
      <c r="C43" s="2158" t="str">
        <f t="shared" si="4"/>
        <v>五、净利润（净亏损以“-”号填列）</v>
      </c>
      <c r="D43" s="2147"/>
      <c r="E43" s="2148">
        <f>SUM(E41,-E42)</f>
        <v>-2324.91</v>
      </c>
      <c r="F43" s="2149">
        <f>SUM(F41,-F42)</f>
        <v>-1714.32</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6">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6">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-2324.91</v>
      </c>
      <c r="F65" s="2128">
        <f>SUM(F43,F46)</f>
        <v>-1714.32</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15" customHeight="1">
      <c r="A69" s="2853"/>
      <c r="B69" s="2860"/>
      <c r="C69" s="3132"/>
      <c r="D69" s="3132"/>
      <c r="E69" s="3132"/>
      <c r="F69" s="3132"/>
      <c r="G69" s="1710"/>
      <c r="H69" s="1710"/>
      <c r="I69" s="852"/>
      <c r="J69" s="1664"/>
    </row>
    <row r="70" spans="1:10" ht="17">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15" customHeight="1">
      <c r="A71" s="2863"/>
      <c r="B71" s="2864"/>
      <c r="C71" s="3115"/>
      <c r="D71" s="3115"/>
      <c r="E71" s="3115"/>
      <c r="F71" s="3115"/>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7">
      <c r="A74" s="2866" t="s">
        <v>2565</v>
      </c>
      <c r="B74" s="2867"/>
      <c r="C74" s="1714" t="s">
        <v>5759</v>
      </c>
      <c r="D74" s="1715"/>
      <c r="E74" s="1716"/>
      <c r="F74" s="1717"/>
      <c r="G74" s="1718"/>
      <c r="H74" s="1718"/>
      <c r="I74" s="852"/>
      <c r="J74" s="1664"/>
    </row>
    <row r="75" spans="1:10" ht="17">
      <c r="A75" s="2866" t="s">
        <v>2565</v>
      </c>
      <c r="B75" s="2867"/>
      <c r="C75" s="1719" t="s">
        <v>5760</v>
      </c>
      <c r="D75" s="1720"/>
      <c r="E75" s="1721" t="s">
        <v>2577</v>
      </c>
      <c r="F75" s="1722" t="s">
        <v>2578</v>
      </c>
      <c r="G75" s="1718"/>
      <c r="H75" s="1718"/>
      <c r="I75" s="852"/>
      <c r="J75" s="1664"/>
    </row>
    <row r="76" spans="1:10" ht="17">
      <c r="A76" s="2868" t="s">
        <v>2565</v>
      </c>
      <c r="B76" s="2869"/>
      <c r="C76" s="1723" t="s">
        <v>5761</v>
      </c>
      <c r="D76" s="1724"/>
      <c r="E76" s="1725"/>
      <c r="F76" s="1695"/>
      <c r="G76" s="853"/>
      <c r="H76" s="853"/>
      <c r="I76" s="852"/>
      <c r="J76" s="1664"/>
    </row>
    <row r="77" spans="1:10" ht="17">
      <c r="A77" s="2868" t="s">
        <v>2565</v>
      </c>
      <c r="B77" s="2869"/>
      <c r="C77" s="1726" t="str">
        <f>C43</f>
        <v>五、净利润（净亏损以“-”号填列）</v>
      </c>
      <c r="D77" s="1724" t="s">
        <v>5764</v>
      </c>
      <c r="E77" s="1727">
        <f>E43</f>
        <v>-2324.91</v>
      </c>
      <c r="F77" s="1728">
        <f>F43</f>
        <v>-1714.32</v>
      </c>
      <c r="G77" s="853"/>
      <c r="H77" s="853"/>
      <c r="I77" s="852"/>
      <c r="J77" s="1664"/>
    </row>
    <row r="78" spans="1:10" ht="26">
      <c r="A78" s="2868" t="s">
        <v>2565</v>
      </c>
      <c r="B78" s="2869"/>
      <c r="C78" s="1896" t="str">
        <f>C44 &amp; "+" &amp;C45</f>
        <v>（一）持续经营净利润（净亏损以“-”号填列）+（二）终止经营净利润（净亏损以“-”号填列）</v>
      </c>
      <c r="D78" s="1724" t="s">
        <v>5765</v>
      </c>
      <c r="E78" s="1727">
        <f>E44+E45</f>
        <v>0</v>
      </c>
      <c r="F78" s="1728">
        <f>F44+F45</f>
        <v>0</v>
      </c>
      <c r="G78" s="853"/>
      <c r="H78" s="853"/>
      <c r="I78" s="852"/>
      <c r="J78" s="1664"/>
    </row>
    <row r="79" spans="1:10" ht="17.5" thickBot="1">
      <c r="A79" s="2868" t="s">
        <v>2565</v>
      </c>
      <c r="B79" s="2869"/>
      <c r="C79" s="1729" t="s">
        <v>5766</v>
      </c>
      <c r="D79" s="1724"/>
      <c r="E79" s="1730">
        <f>ROUND(E77-E78,2)</f>
        <v>-2324.91</v>
      </c>
      <c r="F79" s="1731">
        <f>ROUND(F77-F78,2)</f>
        <v>-1714.32</v>
      </c>
      <c r="G79" s="853"/>
      <c r="H79" s="853"/>
      <c r="I79" s="852"/>
      <c r="J79" s="1664"/>
    </row>
    <row r="80" spans="1:10" ht="17.5" thickTop="1">
      <c r="A80" s="2868" t="s">
        <v>2565</v>
      </c>
      <c r="B80" s="2869"/>
      <c r="C80" s="1732" t="s">
        <v>5762</v>
      </c>
      <c r="D80" s="1724"/>
      <c r="E80" s="1733" t="str">
        <f>IF(E79=0,"√","×")</f>
        <v>×</v>
      </c>
      <c r="F80" s="1734" t="str">
        <f>IF(F79=0,"√","×")</f>
        <v>×</v>
      </c>
      <c r="G80" s="853"/>
      <c r="H80" s="853"/>
      <c r="I80" s="852"/>
      <c r="J80" s="1664"/>
    </row>
    <row r="81" spans="1:10" ht="17">
      <c r="A81" s="2868" t="s">
        <v>2565</v>
      </c>
      <c r="B81" s="2869"/>
      <c r="C81" s="1723" t="s">
        <v>5763</v>
      </c>
      <c r="D81" s="1724"/>
      <c r="E81" s="1725"/>
      <c r="F81" s="1695"/>
      <c r="G81" s="853"/>
      <c r="H81" s="853"/>
      <c r="I81" s="852"/>
      <c r="J81" s="1664"/>
    </row>
    <row r="82" spans="1:10" ht="17">
      <c r="A82" s="2868" t="s">
        <v>2565</v>
      </c>
      <c r="B82" s="2869"/>
      <c r="C82" s="1726" t="str">
        <f>C43</f>
        <v>五、净利润（净亏损以“-”号填列）</v>
      </c>
      <c r="D82" s="1724" t="s">
        <v>5764</v>
      </c>
      <c r="E82" s="1727">
        <f>E43</f>
        <v>-2324.91</v>
      </c>
      <c r="F82" s="1728">
        <f>F43</f>
        <v>-1714.32</v>
      </c>
      <c r="G82" s="853"/>
      <c r="H82" s="853"/>
      <c r="I82" s="852"/>
      <c r="J82" s="1664"/>
    </row>
    <row r="83" spans="1:10" ht="17">
      <c r="A83" s="2868" t="s">
        <v>2565</v>
      </c>
      <c r="B83" s="2869"/>
      <c r="C83" s="1691" t="str">
        <f>OwnersEquity!$C$15&amp;" | "&amp;OwnersEquity!$N$7</f>
        <v>（一）综合收益总额 | 未分配利润</v>
      </c>
      <c r="D83" s="1724" t="s">
        <v>5765</v>
      </c>
      <c r="E83" s="1727">
        <f>OwnersEquity!N15</f>
        <v>-2324.91</v>
      </c>
      <c r="F83" s="1728">
        <f>OwnersEquity!AA15</f>
        <v>-1714.32</v>
      </c>
      <c r="G83" s="853"/>
      <c r="H83" s="853"/>
      <c r="I83" s="852"/>
      <c r="J83" s="1664"/>
    </row>
    <row r="84" spans="1:10" ht="17.5" thickBot="1">
      <c r="A84" s="2868" t="s">
        <v>2565</v>
      </c>
      <c r="B84" s="2869"/>
      <c r="C84" s="1729" t="s">
        <v>5766</v>
      </c>
      <c r="D84" s="1724"/>
      <c r="E84" s="1730">
        <f>ROUND(E82-E83,2)</f>
        <v>0</v>
      </c>
      <c r="F84" s="1731">
        <f>ROUND(F82-F83,2)</f>
        <v>0</v>
      </c>
      <c r="G84" s="853"/>
      <c r="H84" s="853"/>
      <c r="I84" s="852"/>
      <c r="J84" s="1664"/>
    </row>
    <row r="85" spans="1:10" ht="17.5" thickTop="1">
      <c r="A85" s="2868" t="s">
        <v>2565</v>
      </c>
      <c r="B85" s="2869"/>
      <c r="C85" s="1732" t="s">
        <v>5767</v>
      </c>
      <c r="D85" s="1724"/>
      <c r="E85" s="1733" t="str">
        <f>IF(E84=0,"√","×")</f>
        <v>√</v>
      </c>
      <c r="F85" s="1734" t="str">
        <f>IF(F84=0,"√","×")</f>
        <v>√</v>
      </c>
      <c r="G85" s="853"/>
      <c r="H85" s="853"/>
      <c r="I85" s="852"/>
      <c r="J85" s="1664"/>
    </row>
    <row r="86" spans="1:10" ht="17">
      <c r="A86" s="2868" t="s">
        <v>2565</v>
      </c>
      <c r="B86" s="2869"/>
      <c r="C86" s="1726" t="str">
        <f>$C$46</f>
        <v>六、其他综合收益的税后净额</v>
      </c>
      <c r="D86" s="1724" t="s">
        <v>5768</v>
      </c>
      <c r="E86" s="1727">
        <f>E46</f>
        <v>0</v>
      </c>
      <c r="F86" s="1728">
        <f>F46</f>
        <v>0</v>
      </c>
      <c r="G86" s="853"/>
      <c r="H86" s="853"/>
      <c r="I86" s="852"/>
      <c r="J86" s="1664"/>
    </row>
    <row r="87" spans="1:10" ht="17">
      <c r="A87" s="2868" t="s">
        <v>2565</v>
      </c>
      <c r="B87" s="2869"/>
      <c r="C87" s="1691" t="str">
        <f>OwnersEquity!$C$15&amp;" | "&amp;OwnersEquity!$J$7</f>
        <v>（一）综合收益总额 | 其他综合收益</v>
      </c>
      <c r="D87" s="1724" t="s">
        <v>5765</v>
      </c>
      <c r="E87" s="1727">
        <f>OwnersEquity!J15</f>
        <v>0</v>
      </c>
      <c r="F87" s="1728">
        <f ca="1">OwnersEquity!W15</f>
        <v>0</v>
      </c>
      <c r="G87" s="853"/>
      <c r="H87" s="853"/>
      <c r="I87" s="852"/>
      <c r="J87" s="1664"/>
    </row>
    <row r="88" spans="1:10" ht="17.5" thickBot="1">
      <c r="A88" s="2868" t="s">
        <v>2565</v>
      </c>
      <c r="B88" s="2869"/>
      <c r="C88" s="1729" t="s">
        <v>5766</v>
      </c>
      <c r="D88" s="1724"/>
      <c r="E88" s="1730">
        <f>ROUND(E86-E87,2)</f>
        <v>0</v>
      </c>
      <c r="F88" s="1731">
        <f ca="1">ROUND(F86-F87,2)</f>
        <v>0</v>
      </c>
      <c r="G88" s="853"/>
      <c r="H88" s="853"/>
      <c r="I88" s="852"/>
      <c r="J88" s="1664"/>
    </row>
    <row r="89" spans="1:10" ht="17.5" thickTop="1">
      <c r="A89" s="2868" t="s">
        <v>2565</v>
      </c>
      <c r="B89" s="2869"/>
      <c r="C89" s="1732" t="s">
        <v>5769</v>
      </c>
      <c r="D89" s="1724"/>
      <c r="E89" s="1733" t="str">
        <f>IF(E88=0,"√","×")</f>
        <v>√</v>
      </c>
      <c r="F89" s="1734" t="str">
        <f ca="1">IF(F88=0,"√","×")</f>
        <v>√</v>
      </c>
      <c r="G89" s="853"/>
      <c r="H89" s="852"/>
      <c r="I89" s="852"/>
      <c r="J89" s="1664"/>
    </row>
    <row r="90" spans="1:10" ht="17">
      <c r="A90" s="2868" t="s">
        <v>2565</v>
      </c>
      <c r="B90" s="2869"/>
      <c r="C90" s="1726" t="str">
        <f>C65</f>
        <v>七、综合收益总额</v>
      </c>
      <c r="D90" s="1724" t="s">
        <v>5770</v>
      </c>
      <c r="E90" s="1727">
        <f>E65</f>
        <v>-2324.91</v>
      </c>
      <c r="F90" s="1728">
        <f>F65</f>
        <v>-1714.32</v>
      </c>
      <c r="G90" s="853"/>
      <c r="H90" s="852"/>
      <c r="I90" s="852"/>
      <c r="J90" s="1664"/>
    </row>
    <row r="91" spans="1:10" ht="17">
      <c r="A91" s="2868" t="s">
        <v>2565</v>
      </c>
      <c r="B91" s="2869"/>
      <c r="C91" s="1691" t="str">
        <f>OwnersEquity!$C$15&amp;" | "&amp;OwnersEquity!$P$7</f>
        <v>（一）综合收益总额 | 所有者权益合计</v>
      </c>
      <c r="D91" s="1724" t="s">
        <v>5771</v>
      </c>
      <c r="E91" s="1727">
        <f>OwnersEquity!P15</f>
        <v>-2324.91</v>
      </c>
      <c r="F91" s="1728">
        <f ca="1">OwnersEquity!AC15</f>
        <v>-1714.32</v>
      </c>
      <c r="G91" s="853"/>
      <c r="H91" s="852"/>
      <c r="I91" s="852"/>
      <c r="J91" s="1664"/>
    </row>
    <row r="92" spans="1:10" ht="17.5" thickBot="1">
      <c r="A92" s="2868" t="s">
        <v>2565</v>
      </c>
      <c r="B92" s="2869"/>
      <c r="C92" s="1729" t="s">
        <v>5772</v>
      </c>
      <c r="D92" s="1724"/>
      <c r="E92" s="1730">
        <f>ROUND(E90-E91,2)</f>
        <v>0</v>
      </c>
      <c r="F92" s="1731">
        <f ca="1">ROUND(F90-F91,2)</f>
        <v>0</v>
      </c>
      <c r="G92" s="853"/>
      <c r="H92" s="852"/>
      <c r="I92" s="852"/>
      <c r="J92" s="1664"/>
    </row>
    <row r="93" spans="1:10" ht="17.5" thickTop="1">
      <c r="A93" s="2868" t="s">
        <v>2565</v>
      </c>
      <c r="B93" s="2869"/>
      <c r="C93" s="1735" t="s">
        <v>5769</v>
      </c>
      <c r="D93" s="1724"/>
      <c r="E93" s="1733" t="str">
        <f>IF(E92=0,"√","×")</f>
        <v>√</v>
      </c>
      <c r="F93" s="1734" t="str">
        <f ca="1">IF(F92=0,"√","×")</f>
        <v>√</v>
      </c>
      <c r="G93" s="1736"/>
      <c r="H93" s="851"/>
      <c r="I93" s="850"/>
    </row>
    <row r="94" spans="1:10" ht="17.5" thickBot="1">
      <c r="A94" s="2868" t="s">
        <v>2565</v>
      </c>
      <c r="B94" s="2869"/>
      <c r="C94" s="1737" t="s">
        <v>2572</v>
      </c>
      <c r="D94" s="1738"/>
      <c r="E94" s="1739">
        <f>SUMIF($C$76:$C$93,"差       异",E76:E93)</f>
        <v>-2324.91</v>
      </c>
      <c r="F94" s="1706">
        <f ca="1">SUMIF($C$76:$C$93,"差       异",F76:F93)</f>
        <v>-1714.32</v>
      </c>
      <c r="G94" s="1736"/>
      <c r="H94" s="1740" t="str">
        <f ca="1">IF(E94+F94=0,"Balanced","Diff "&amp;TEXT(ROUND(E94+F94,2),"#,###.00"))</f>
        <v>Diff -4,039.23</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4" priority="56" stopIfTrue="1" operator="notEqual">
      <formula>0</formula>
    </cfRule>
  </conditionalFormatting>
  <conditionalFormatting sqref="D74:D75 C74">
    <cfRule type="expression" dxfId="3873" priority="55" stopIfTrue="1">
      <formula>#REF!=TRUE</formula>
    </cfRule>
  </conditionalFormatting>
  <conditionalFormatting sqref="E94:F94 E88:F88 E92:F92 E84:F84">
    <cfRule type="cellIs" dxfId="3872" priority="54" stopIfTrue="1" operator="notEqual">
      <formula>0</formula>
    </cfRule>
  </conditionalFormatting>
  <conditionalFormatting sqref="E94:F94 E88:F88 E92:F92 E84:F84">
    <cfRule type="cellIs" dxfId="3871" priority="52" stopIfTrue="1" operator="notEqual">
      <formula>0</formula>
    </cfRule>
  </conditionalFormatting>
  <conditionalFormatting sqref="E94:F94 E88:F88 E92:F92 E84:F84">
    <cfRule type="cellIs" dxfId="3870" priority="51" stopIfTrue="1" operator="notEqual">
      <formula>0</formula>
    </cfRule>
  </conditionalFormatting>
  <conditionalFormatting sqref="E94:F94 E88:F88 E92:F92 E84:F84">
    <cfRule type="cellIs" dxfId="3869" priority="50" stopIfTrue="1" operator="notEqual">
      <formula>0</formula>
    </cfRule>
  </conditionalFormatting>
  <conditionalFormatting sqref="E94:F94 E88:F88 E92:F92 E84:F84">
    <cfRule type="cellIs" dxfId="3868" priority="48" stopIfTrue="1" operator="notEqual">
      <formula>0</formula>
    </cfRule>
  </conditionalFormatting>
  <conditionalFormatting sqref="E94:F94 E88:F88 E92:F92 E84:F84">
    <cfRule type="cellIs" dxfId="3867" priority="46" stopIfTrue="1" operator="notEqual">
      <formula>0</formula>
    </cfRule>
  </conditionalFormatting>
  <conditionalFormatting sqref="E94:F94 E88:F88 E92:F92 E84:F84">
    <cfRule type="cellIs" dxfId="3866" priority="45" stopIfTrue="1" operator="notEqual">
      <formula>0</formula>
    </cfRule>
  </conditionalFormatting>
  <conditionalFormatting sqref="E94:F94 E88:F88 E92:F92 E84:F84">
    <cfRule type="cellIs" dxfId="3865" priority="44" stopIfTrue="1" operator="notEqual">
      <formula>0</formula>
    </cfRule>
  </conditionalFormatting>
  <conditionalFormatting sqref="E94:F94 E88:F88 E92:F92 E84:F84">
    <cfRule type="cellIs" dxfId="3864" priority="43" stopIfTrue="1" operator="notEqual">
      <formula>0</formula>
    </cfRule>
  </conditionalFormatting>
  <conditionalFormatting sqref="E94:F94 E88:F88 E92:F92 E84:F84">
    <cfRule type="cellIs" dxfId="3863" priority="42" stopIfTrue="1" operator="notEqual">
      <formula>0</formula>
    </cfRule>
  </conditionalFormatting>
  <conditionalFormatting sqref="E94:F94 E88:F88 E92:F92 E84:F84">
    <cfRule type="cellIs" dxfId="3862" priority="41" stopIfTrue="1" operator="notEqual">
      <formula>0</formula>
    </cfRule>
  </conditionalFormatting>
  <conditionalFormatting sqref="E94:F94 E88:F88 E92:F92 E84:F84">
    <cfRule type="cellIs" dxfId="3861" priority="40" stopIfTrue="1" operator="notEqual">
      <formula>0</formula>
    </cfRule>
  </conditionalFormatting>
  <conditionalFormatting sqref="E94:F94 E88:F88 E92:F92 E84:F84">
    <cfRule type="cellIs" dxfId="3860" priority="38" stopIfTrue="1" operator="notEqual">
      <formula>0</formula>
    </cfRule>
  </conditionalFormatting>
  <conditionalFormatting sqref="E94:F94 E88:F88 E92:F92 E84:F84">
    <cfRule type="cellIs" dxfId="3859" priority="36" stopIfTrue="1" operator="notEqual">
      <formula>0</formula>
    </cfRule>
  </conditionalFormatting>
  <conditionalFormatting sqref="E94:F94 E88:F88 E92:F92 E84:F84">
    <cfRule type="cellIs" dxfId="3858" priority="35" stopIfTrue="1" operator="notEqual">
      <formula>0</formula>
    </cfRule>
  </conditionalFormatting>
  <conditionalFormatting sqref="E94:F94 E88:F88 E92:F92 E84:F84">
    <cfRule type="cellIs" dxfId="3857" priority="34" stopIfTrue="1" operator="notEqual">
      <formula>0</formula>
    </cfRule>
  </conditionalFormatting>
  <conditionalFormatting sqref="E94:F94 E88:F88 E92:F92 E84:F84">
    <cfRule type="cellIs" dxfId="3856" priority="32" stopIfTrue="1" operator="notEqual">
      <formula>0</formula>
    </cfRule>
  </conditionalFormatting>
  <conditionalFormatting sqref="E94:F94 E88:F88 E92:F92 E84:F84">
    <cfRule type="cellIs" dxfId="3855" priority="30" stopIfTrue="1" operator="notEqual">
      <formula>0</formula>
    </cfRule>
  </conditionalFormatting>
  <conditionalFormatting sqref="E94:F94 E88:F88 E92:F92 E84:F84">
    <cfRule type="cellIs" dxfId="3854" priority="29" stopIfTrue="1" operator="notEqual">
      <formula>0</formula>
    </cfRule>
  </conditionalFormatting>
  <conditionalFormatting sqref="E94:F94 E88:F88 E92:F92 E84:F84">
    <cfRule type="cellIs" dxfId="3853" priority="28" stopIfTrue="1" operator="notEqual">
      <formula>0</formula>
    </cfRule>
  </conditionalFormatting>
  <conditionalFormatting sqref="E94:F94 E88:F88 E92:F92 E84:F84">
    <cfRule type="cellIs" dxfId="3852" priority="27" stopIfTrue="1" operator="notEqual">
      <formula>0</formula>
    </cfRule>
  </conditionalFormatting>
  <conditionalFormatting sqref="E94:F94 E88:F88 E92:F92 E84:F84">
    <cfRule type="cellIs" dxfId="3851" priority="26" stopIfTrue="1" operator="notEqual">
      <formula>0</formula>
    </cfRule>
  </conditionalFormatting>
  <conditionalFormatting sqref="E94:F94 E88:F88 E92:F92 E84:F84">
    <cfRule type="cellIs" dxfId="385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3"/>
  <cols>
    <col min="1" max="2" width="9.765625E-2" style="2797" customWidth="1"/>
    <col min="3" max="3" width="78.69921875" style="1665" customWidth="1"/>
    <col min="4" max="4" width="10.69921875" style="1665" customWidth="1"/>
    <col min="5" max="6" width="30.69921875" style="1665" customWidth="1"/>
    <col min="7" max="256" width="9.09765625" style="1665"/>
    <col min="257" max="258" width="9.765625E-2" style="1665" customWidth="1"/>
    <col min="259" max="259" width="78.69921875" style="1665" customWidth="1"/>
    <col min="260" max="260" width="10.69921875" style="1665" customWidth="1"/>
    <col min="261" max="262" width="30.69921875" style="1665" customWidth="1"/>
    <col min="263" max="512" width="9.09765625" style="1665"/>
    <col min="513" max="514" width="9.765625E-2" style="1665" customWidth="1"/>
    <col min="515" max="515" width="78.69921875" style="1665" customWidth="1"/>
    <col min="516" max="516" width="10.69921875" style="1665" customWidth="1"/>
    <col min="517" max="518" width="30.69921875" style="1665" customWidth="1"/>
    <col min="519" max="768" width="9.09765625" style="1665"/>
    <col min="769" max="770" width="9.765625E-2" style="1665" customWidth="1"/>
    <col min="771" max="771" width="78.69921875" style="1665" customWidth="1"/>
    <col min="772" max="772" width="10.69921875" style="1665" customWidth="1"/>
    <col min="773" max="774" width="30.69921875" style="1665" customWidth="1"/>
    <col min="775" max="1024" width="9.09765625" style="1665"/>
    <col min="1025" max="1026" width="9.765625E-2" style="1665" customWidth="1"/>
    <col min="1027" max="1027" width="78.69921875" style="1665" customWidth="1"/>
    <col min="1028" max="1028" width="10.69921875" style="1665" customWidth="1"/>
    <col min="1029" max="1030" width="30.69921875" style="1665" customWidth="1"/>
    <col min="1031" max="1280" width="9.09765625" style="1665"/>
    <col min="1281" max="1282" width="9.765625E-2" style="1665" customWidth="1"/>
    <col min="1283" max="1283" width="78.69921875" style="1665" customWidth="1"/>
    <col min="1284" max="1284" width="10.69921875" style="1665" customWidth="1"/>
    <col min="1285" max="1286" width="30.69921875" style="1665" customWidth="1"/>
    <col min="1287" max="1536" width="9.09765625" style="1665"/>
    <col min="1537" max="1538" width="9.765625E-2" style="1665" customWidth="1"/>
    <col min="1539" max="1539" width="78.69921875" style="1665" customWidth="1"/>
    <col min="1540" max="1540" width="10.69921875" style="1665" customWidth="1"/>
    <col min="1541" max="1542" width="30.69921875" style="1665" customWidth="1"/>
    <col min="1543" max="1792" width="9.09765625" style="1665"/>
    <col min="1793" max="1794" width="9.765625E-2" style="1665" customWidth="1"/>
    <col min="1795" max="1795" width="78.69921875" style="1665" customWidth="1"/>
    <col min="1796" max="1796" width="10.69921875" style="1665" customWidth="1"/>
    <col min="1797" max="1798" width="30.69921875" style="1665" customWidth="1"/>
    <col min="1799" max="2048" width="9.09765625" style="1665"/>
    <col min="2049" max="2050" width="9.765625E-2" style="1665" customWidth="1"/>
    <col min="2051" max="2051" width="78.69921875" style="1665" customWidth="1"/>
    <col min="2052" max="2052" width="10.69921875" style="1665" customWidth="1"/>
    <col min="2053" max="2054" width="30.69921875" style="1665" customWidth="1"/>
    <col min="2055" max="2304" width="9.09765625" style="1665"/>
    <col min="2305" max="2306" width="9.765625E-2" style="1665" customWidth="1"/>
    <col min="2307" max="2307" width="78.69921875" style="1665" customWidth="1"/>
    <col min="2308" max="2308" width="10.69921875" style="1665" customWidth="1"/>
    <col min="2309" max="2310" width="30.69921875" style="1665" customWidth="1"/>
    <col min="2311" max="2560" width="9.09765625" style="1665"/>
    <col min="2561" max="2562" width="9.765625E-2" style="1665" customWidth="1"/>
    <col min="2563" max="2563" width="78.69921875" style="1665" customWidth="1"/>
    <col min="2564" max="2564" width="10.69921875" style="1665" customWidth="1"/>
    <col min="2565" max="2566" width="30.69921875" style="1665" customWidth="1"/>
    <col min="2567" max="2816" width="9.09765625" style="1665"/>
    <col min="2817" max="2818" width="9.765625E-2" style="1665" customWidth="1"/>
    <col min="2819" max="2819" width="78.69921875" style="1665" customWidth="1"/>
    <col min="2820" max="2820" width="10.69921875" style="1665" customWidth="1"/>
    <col min="2821" max="2822" width="30.69921875" style="1665" customWidth="1"/>
    <col min="2823" max="3072" width="9.09765625" style="1665"/>
    <col min="3073" max="3074" width="9.765625E-2" style="1665" customWidth="1"/>
    <col min="3075" max="3075" width="78.69921875" style="1665" customWidth="1"/>
    <col min="3076" max="3076" width="10.69921875" style="1665" customWidth="1"/>
    <col min="3077" max="3078" width="30.69921875" style="1665" customWidth="1"/>
    <col min="3079" max="3328" width="9.09765625" style="1665"/>
    <col min="3329" max="3330" width="9.765625E-2" style="1665" customWidth="1"/>
    <col min="3331" max="3331" width="78.69921875" style="1665" customWidth="1"/>
    <col min="3332" max="3332" width="10.69921875" style="1665" customWidth="1"/>
    <col min="3333" max="3334" width="30.69921875" style="1665" customWidth="1"/>
    <col min="3335" max="3584" width="9.09765625" style="1665"/>
    <col min="3585" max="3586" width="9.765625E-2" style="1665" customWidth="1"/>
    <col min="3587" max="3587" width="78.69921875" style="1665" customWidth="1"/>
    <col min="3588" max="3588" width="10.69921875" style="1665" customWidth="1"/>
    <col min="3589" max="3590" width="30.69921875" style="1665" customWidth="1"/>
    <col min="3591" max="3840" width="9.09765625" style="1665"/>
    <col min="3841" max="3842" width="9.765625E-2" style="1665" customWidth="1"/>
    <col min="3843" max="3843" width="78.69921875" style="1665" customWidth="1"/>
    <col min="3844" max="3844" width="10.69921875" style="1665" customWidth="1"/>
    <col min="3845" max="3846" width="30.69921875" style="1665" customWidth="1"/>
    <col min="3847" max="4096" width="9.09765625" style="1665"/>
    <col min="4097" max="4098" width="9.765625E-2" style="1665" customWidth="1"/>
    <col min="4099" max="4099" width="78.69921875" style="1665" customWidth="1"/>
    <col min="4100" max="4100" width="10.69921875" style="1665" customWidth="1"/>
    <col min="4101" max="4102" width="30.69921875" style="1665" customWidth="1"/>
    <col min="4103" max="4352" width="9.09765625" style="1665"/>
    <col min="4353" max="4354" width="9.765625E-2" style="1665" customWidth="1"/>
    <col min="4355" max="4355" width="78.69921875" style="1665" customWidth="1"/>
    <col min="4356" max="4356" width="10.69921875" style="1665" customWidth="1"/>
    <col min="4357" max="4358" width="30.69921875" style="1665" customWidth="1"/>
    <col min="4359" max="4608" width="9.09765625" style="1665"/>
    <col min="4609" max="4610" width="9.765625E-2" style="1665" customWidth="1"/>
    <col min="4611" max="4611" width="78.69921875" style="1665" customWidth="1"/>
    <col min="4612" max="4612" width="10.69921875" style="1665" customWidth="1"/>
    <col min="4613" max="4614" width="30.69921875" style="1665" customWidth="1"/>
    <col min="4615" max="4864" width="9.09765625" style="1665"/>
    <col min="4865" max="4866" width="9.765625E-2" style="1665" customWidth="1"/>
    <col min="4867" max="4867" width="78.69921875" style="1665" customWidth="1"/>
    <col min="4868" max="4868" width="10.69921875" style="1665" customWidth="1"/>
    <col min="4869" max="4870" width="30.69921875" style="1665" customWidth="1"/>
    <col min="4871" max="5120" width="9.09765625" style="1665"/>
    <col min="5121" max="5122" width="9.765625E-2" style="1665" customWidth="1"/>
    <col min="5123" max="5123" width="78.69921875" style="1665" customWidth="1"/>
    <col min="5124" max="5124" width="10.69921875" style="1665" customWidth="1"/>
    <col min="5125" max="5126" width="30.69921875" style="1665" customWidth="1"/>
    <col min="5127" max="5376" width="9.09765625" style="1665"/>
    <col min="5377" max="5378" width="9.765625E-2" style="1665" customWidth="1"/>
    <col min="5379" max="5379" width="78.69921875" style="1665" customWidth="1"/>
    <col min="5380" max="5380" width="10.69921875" style="1665" customWidth="1"/>
    <col min="5381" max="5382" width="30.69921875" style="1665" customWidth="1"/>
    <col min="5383" max="5632" width="9.09765625" style="1665"/>
    <col min="5633" max="5634" width="9.765625E-2" style="1665" customWidth="1"/>
    <col min="5635" max="5635" width="78.69921875" style="1665" customWidth="1"/>
    <col min="5636" max="5636" width="10.69921875" style="1665" customWidth="1"/>
    <col min="5637" max="5638" width="30.69921875" style="1665" customWidth="1"/>
    <col min="5639" max="5888" width="9.09765625" style="1665"/>
    <col min="5889" max="5890" width="9.765625E-2" style="1665" customWidth="1"/>
    <col min="5891" max="5891" width="78.69921875" style="1665" customWidth="1"/>
    <col min="5892" max="5892" width="10.69921875" style="1665" customWidth="1"/>
    <col min="5893" max="5894" width="30.69921875" style="1665" customWidth="1"/>
    <col min="5895" max="6144" width="9.09765625" style="1665"/>
    <col min="6145" max="6146" width="9.765625E-2" style="1665" customWidth="1"/>
    <col min="6147" max="6147" width="78.69921875" style="1665" customWidth="1"/>
    <col min="6148" max="6148" width="10.69921875" style="1665" customWidth="1"/>
    <col min="6149" max="6150" width="30.69921875" style="1665" customWidth="1"/>
    <col min="6151" max="6400" width="9.09765625" style="1665"/>
    <col min="6401" max="6402" width="9.765625E-2" style="1665" customWidth="1"/>
    <col min="6403" max="6403" width="78.69921875" style="1665" customWidth="1"/>
    <col min="6404" max="6404" width="10.69921875" style="1665" customWidth="1"/>
    <col min="6405" max="6406" width="30.69921875" style="1665" customWidth="1"/>
    <col min="6407" max="6656" width="9.09765625" style="1665"/>
    <col min="6657" max="6658" width="9.765625E-2" style="1665" customWidth="1"/>
    <col min="6659" max="6659" width="78.69921875" style="1665" customWidth="1"/>
    <col min="6660" max="6660" width="10.69921875" style="1665" customWidth="1"/>
    <col min="6661" max="6662" width="30.69921875" style="1665" customWidth="1"/>
    <col min="6663" max="6912" width="9.09765625" style="1665"/>
    <col min="6913" max="6914" width="9.765625E-2" style="1665" customWidth="1"/>
    <col min="6915" max="6915" width="78.69921875" style="1665" customWidth="1"/>
    <col min="6916" max="6916" width="10.69921875" style="1665" customWidth="1"/>
    <col min="6917" max="6918" width="30.69921875" style="1665" customWidth="1"/>
    <col min="6919" max="7168" width="9.09765625" style="1665"/>
    <col min="7169" max="7170" width="9.765625E-2" style="1665" customWidth="1"/>
    <col min="7171" max="7171" width="78.69921875" style="1665" customWidth="1"/>
    <col min="7172" max="7172" width="10.69921875" style="1665" customWidth="1"/>
    <col min="7173" max="7174" width="30.69921875" style="1665" customWidth="1"/>
    <col min="7175" max="7424" width="9.09765625" style="1665"/>
    <col min="7425" max="7426" width="9.765625E-2" style="1665" customWidth="1"/>
    <col min="7427" max="7427" width="78.69921875" style="1665" customWidth="1"/>
    <col min="7428" max="7428" width="10.69921875" style="1665" customWidth="1"/>
    <col min="7429" max="7430" width="30.69921875" style="1665" customWidth="1"/>
    <col min="7431" max="7680" width="9.09765625" style="1665"/>
    <col min="7681" max="7682" width="9.765625E-2" style="1665" customWidth="1"/>
    <col min="7683" max="7683" width="78.69921875" style="1665" customWidth="1"/>
    <col min="7684" max="7684" width="10.69921875" style="1665" customWidth="1"/>
    <col min="7685" max="7686" width="30.69921875" style="1665" customWidth="1"/>
    <col min="7687" max="7936" width="9.09765625" style="1665"/>
    <col min="7937" max="7938" width="9.765625E-2" style="1665" customWidth="1"/>
    <col min="7939" max="7939" width="78.69921875" style="1665" customWidth="1"/>
    <col min="7940" max="7940" width="10.69921875" style="1665" customWidth="1"/>
    <col min="7941" max="7942" width="30.69921875" style="1665" customWidth="1"/>
    <col min="7943" max="8192" width="9.09765625" style="1665"/>
    <col min="8193" max="8194" width="9.765625E-2" style="1665" customWidth="1"/>
    <col min="8195" max="8195" width="78.69921875" style="1665" customWidth="1"/>
    <col min="8196" max="8196" width="10.69921875" style="1665" customWidth="1"/>
    <col min="8197" max="8198" width="30.69921875" style="1665" customWidth="1"/>
    <col min="8199" max="8448" width="9.09765625" style="1665"/>
    <col min="8449" max="8450" width="9.765625E-2" style="1665" customWidth="1"/>
    <col min="8451" max="8451" width="78.69921875" style="1665" customWidth="1"/>
    <col min="8452" max="8452" width="10.69921875" style="1665" customWidth="1"/>
    <col min="8453" max="8454" width="30.69921875" style="1665" customWidth="1"/>
    <col min="8455" max="8704" width="9.09765625" style="1665"/>
    <col min="8705" max="8706" width="9.765625E-2" style="1665" customWidth="1"/>
    <col min="8707" max="8707" width="78.69921875" style="1665" customWidth="1"/>
    <col min="8708" max="8708" width="10.69921875" style="1665" customWidth="1"/>
    <col min="8709" max="8710" width="30.69921875" style="1665" customWidth="1"/>
    <col min="8711" max="8960" width="9.09765625" style="1665"/>
    <col min="8961" max="8962" width="9.765625E-2" style="1665" customWidth="1"/>
    <col min="8963" max="8963" width="78.69921875" style="1665" customWidth="1"/>
    <col min="8964" max="8964" width="10.69921875" style="1665" customWidth="1"/>
    <col min="8965" max="8966" width="30.69921875" style="1665" customWidth="1"/>
    <col min="8967" max="9216" width="9.09765625" style="1665"/>
    <col min="9217" max="9218" width="9.765625E-2" style="1665" customWidth="1"/>
    <col min="9219" max="9219" width="78.69921875" style="1665" customWidth="1"/>
    <col min="9220" max="9220" width="10.69921875" style="1665" customWidth="1"/>
    <col min="9221" max="9222" width="30.69921875" style="1665" customWidth="1"/>
    <col min="9223" max="9472" width="9.09765625" style="1665"/>
    <col min="9473" max="9474" width="9.765625E-2" style="1665" customWidth="1"/>
    <col min="9475" max="9475" width="78.69921875" style="1665" customWidth="1"/>
    <col min="9476" max="9476" width="10.69921875" style="1665" customWidth="1"/>
    <col min="9477" max="9478" width="30.69921875" style="1665" customWidth="1"/>
    <col min="9479" max="9728" width="9.09765625" style="1665"/>
    <col min="9729" max="9730" width="9.765625E-2" style="1665" customWidth="1"/>
    <col min="9731" max="9731" width="78.69921875" style="1665" customWidth="1"/>
    <col min="9732" max="9732" width="10.69921875" style="1665" customWidth="1"/>
    <col min="9733" max="9734" width="30.69921875" style="1665" customWidth="1"/>
    <col min="9735" max="9984" width="9.09765625" style="1665"/>
    <col min="9985" max="9986" width="9.765625E-2" style="1665" customWidth="1"/>
    <col min="9987" max="9987" width="78.69921875" style="1665" customWidth="1"/>
    <col min="9988" max="9988" width="10.69921875" style="1665" customWidth="1"/>
    <col min="9989" max="9990" width="30.69921875" style="1665" customWidth="1"/>
    <col min="9991" max="10240" width="9.09765625" style="1665"/>
    <col min="10241" max="10242" width="9.765625E-2" style="1665" customWidth="1"/>
    <col min="10243" max="10243" width="78.69921875" style="1665" customWidth="1"/>
    <col min="10244" max="10244" width="10.69921875" style="1665" customWidth="1"/>
    <col min="10245" max="10246" width="30.69921875" style="1665" customWidth="1"/>
    <col min="10247" max="10496" width="9.09765625" style="1665"/>
    <col min="10497" max="10498" width="9.765625E-2" style="1665" customWidth="1"/>
    <col min="10499" max="10499" width="78.69921875" style="1665" customWidth="1"/>
    <col min="10500" max="10500" width="10.69921875" style="1665" customWidth="1"/>
    <col min="10501" max="10502" width="30.69921875" style="1665" customWidth="1"/>
    <col min="10503" max="10752" width="9.09765625" style="1665"/>
    <col min="10753" max="10754" width="9.765625E-2" style="1665" customWidth="1"/>
    <col min="10755" max="10755" width="78.69921875" style="1665" customWidth="1"/>
    <col min="10756" max="10756" width="10.69921875" style="1665" customWidth="1"/>
    <col min="10757" max="10758" width="30.69921875" style="1665" customWidth="1"/>
    <col min="10759" max="11008" width="9.09765625" style="1665"/>
    <col min="11009" max="11010" width="9.765625E-2" style="1665" customWidth="1"/>
    <col min="11011" max="11011" width="78.69921875" style="1665" customWidth="1"/>
    <col min="11012" max="11012" width="10.69921875" style="1665" customWidth="1"/>
    <col min="11013" max="11014" width="30.69921875" style="1665" customWidth="1"/>
    <col min="11015" max="11264" width="9.09765625" style="1665"/>
    <col min="11265" max="11266" width="9.765625E-2" style="1665" customWidth="1"/>
    <col min="11267" max="11267" width="78.69921875" style="1665" customWidth="1"/>
    <col min="11268" max="11268" width="10.69921875" style="1665" customWidth="1"/>
    <col min="11269" max="11270" width="30.69921875" style="1665" customWidth="1"/>
    <col min="11271" max="11520" width="9.09765625" style="1665"/>
    <col min="11521" max="11522" width="9.765625E-2" style="1665" customWidth="1"/>
    <col min="11523" max="11523" width="78.69921875" style="1665" customWidth="1"/>
    <col min="11524" max="11524" width="10.69921875" style="1665" customWidth="1"/>
    <col min="11525" max="11526" width="30.69921875" style="1665" customWidth="1"/>
    <col min="11527" max="11776" width="9.09765625" style="1665"/>
    <col min="11777" max="11778" width="9.765625E-2" style="1665" customWidth="1"/>
    <col min="11779" max="11779" width="78.69921875" style="1665" customWidth="1"/>
    <col min="11780" max="11780" width="10.69921875" style="1665" customWidth="1"/>
    <col min="11781" max="11782" width="30.69921875" style="1665" customWidth="1"/>
    <col min="11783" max="12032" width="9.09765625" style="1665"/>
    <col min="12033" max="12034" width="9.765625E-2" style="1665" customWidth="1"/>
    <col min="12035" max="12035" width="78.69921875" style="1665" customWidth="1"/>
    <col min="12036" max="12036" width="10.69921875" style="1665" customWidth="1"/>
    <col min="12037" max="12038" width="30.69921875" style="1665" customWidth="1"/>
    <col min="12039" max="12288" width="9.09765625" style="1665"/>
    <col min="12289" max="12290" width="9.765625E-2" style="1665" customWidth="1"/>
    <col min="12291" max="12291" width="78.69921875" style="1665" customWidth="1"/>
    <col min="12292" max="12292" width="10.69921875" style="1665" customWidth="1"/>
    <col min="12293" max="12294" width="30.69921875" style="1665" customWidth="1"/>
    <col min="12295" max="12544" width="9.09765625" style="1665"/>
    <col min="12545" max="12546" width="9.765625E-2" style="1665" customWidth="1"/>
    <col min="12547" max="12547" width="78.69921875" style="1665" customWidth="1"/>
    <col min="12548" max="12548" width="10.69921875" style="1665" customWidth="1"/>
    <col min="12549" max="12550" width="30.69921875" style="1665" customWidth="1"/>
    <col min="12551" max="12800" width="9.09765625" style="1665"/>
    <col min="12801" max="12802" width="9.765625E-2" style="1665" customWidth="1"/>
    <col min="12803" max="12803" width="78.69921875" style="1665" customWidth="1"/>
    <col min="12804" max="12804" width="10.69921875" style="1665" customWidth="1"/>
    <col min="12805" max="12806" width="30.69921875" style="1665" customWidth="1"/>
    <col min="12807" max="13056" width="9.09765625" style="1665"/>
    <col min="13057" max="13058" width="9.765625E-2" style="1665" customWidth="1"/>
    <col min="13059" max="13059" width="78.69921875" style="1665" customWidth="1"/>
    <col min="13060" max="13060" width="10.69921875" style="1665" customWidth="1"/>
    <col min="13061" max="13062" width="30.69921875" style="1665" customWidth="1"/>
    <col min="13063" max="13312" width="9.09765625" style="1665"/>
    <col min="13313" max="13314" width="9.765625E-2" style="1665" customWidth="1"/>
    <col min="13315" max="13315" width="78.69921875" style="1665" customWidth="1"/>
    <col min="13316" max="13316" width="10.69921875" style="1665" customWidth="1"/>
    <col min="13317" max="13318" width="30.69921875" style="1665" customWidth="1"/>
    <col min="13319" max="13568" width="9.09765625" style="1665"/>
    <col min="13569" max="13570" width="9.765625E-2" style="1665" customWidth="1"/>
    <col min="13571" max="13571" width="78.69921875" style="1665" customWidth="1"/>
    <col min="13572" max="13572" width="10.69921875" style="1665" customWidth="1"/>
    <col min="13573" max="13574" width="30.69921875" style="1665" customWidth="1"/>
    <col min="13575" max="13824" width="9.09765625" style="1665"/>
    <col min="13825" max="13826" width="9.765625E-2" style="1665" customWidth="1"/>
    <col min="13827" max="13827" width="78.69921875" style="1665" customWidth="1"/>
    <col min="13828" max="13828" width="10.69921875" style="1665" customWidth="1"/>
    <col min="13829" max="13830" width="30.69921875" style="1665" customWidth="1"/>
    <col min="13831" max="14080" width="9.09765625" style="1665"/>
    <col min="14081" max="14082" width="9.765625E-2" style="1665" customWidth="1"/>
    <col min="14083" max="14083" width="78.69921875" style="1665" customWidth="1"/>
    <col min="14084" max="14084" width="10.69921875" style="1665" customWidth="1"/>
    <col min="14085" max="14086" width="30.69921875" style="1665" customWidth="1"/>
    <col min="14087" max="14336" width="9.09765625" style="1665"/>
    <col min="14337" max="14338" width="9.765625E-2" style="1665" customWidth="1"/>
    <col min="14339" max="14339" width="78.69921875" style="1665" customWidth="1"/>
    <col min="14340" max="14340" width="10.69921875" style="1665" customWidth="1"/>
    <col min="14341" max="14342" width="30.69921875" style="1665" customWidth="1"/>
    <col min="14343" max="14592" width="9.09765625" style="1665"/>
    <col min="14593" max="14594" width="9.765625E-2" style="1665" customWidth="1"/>
    <col min="14595" max="14595" width="78.69921875" style="1665" customWidth="1"/>
    <col min="14596" max="14596" width="10.69921875" style="1665" customWidth="1"/>
    <col min="14597" max="14598" width="30.69921875" style="1665" customWidth="1"/>
    <col min="14599" max="14848" width="9.09765625" style="1665"/>
    <col min="14849" max="14850" width="9.765625E-2" style="1665" customWidth="1"/>
    <col min="14851" max="14851" width="78.69921875" style="1665" customWidth="1"/>
    <col min="14852" max="14852" width="10.69921875" style="1665" customWidth="1"/>
    <col min="14853" max="14854" width="30.69921875" style="1665" customWidth="1"/>
    <col min="14855" max="15104" width="9.09765625" style="1665"/>
    <col min="15105" max="15106" width="9.765625E-2" style="1665" customWidth="1"/>
    <col min="15107" max="15107" width="78.69921875" style="1665" customWidth="1"/>
    <col min="15108" max="15108" width="10.69921875" style="1665" customWidth="1"/>
    <col min="15109" max="15110" width="30.69921875" style="1665" customWidth="1"/>
    <col min="15111" max="15360" width="9.09765625" style="1665"/>
    <col min="15361" max="15362" width="9.765625E-2" style="1665" customWidth="1"/>
    <col min="15363" max="15363" width="78.69921875" style="1665" customWidth="1"/>
    <col min="15364" max="15364" width="10.69921875" style="1665" customWidth="1"/>
    <col min="15365" max="15366" width="30.69921875" style="1665" customWidth="1"/>
    <col min="15367" max="15616" width="9.09765625" style="1665"/>
    <col min="15617" max="15618" width="9.765625E-2" style="1665" customWidth="1"/>
    <col min="15619" max="15619" width="78.69921875" style="1665" customWidth="1"/>
    <col min="15620" max="15620" width="10.69921875" style="1665" customWidth="1"/>
    <col min="15621" max="15622" width="30.69921875" style="1665" customWidth="1"/>
    <col min="15623" max="15872" width="9.09765625" style="1665"/>
    <col min="15873" max="15874" width="9.765625E-2" style="1665" customWidth="1"/>
    <col min="15875" max="15875" width="78.69921875" style="1665" customWidth="1"/>
    <col min="15876" max="15876" width="10.69921875" style="1665" customWidth="1"/>
    <col min="15877" max="15878" width="30.69921875" style="1665" customWidth="1"/>
    <col min="15879" max="16128" width="9.09765625" style="1665"/>
    <col min="16129" max="16130" width="9.765625E-2" style="1665" customWidth="1"/>
    <col min="16131" max="16131" width="78.69921875" style="1665" customWidth="1"/>
    <col min="16132" max="16132" width="10.69921875" style="1665" customWidth="1"/>
    <col min="16133" max="16134" width="30.69921875" style="1665" customWidth="1"/>
    <col min="16135" max="16384" width="9.09765625" style="1665"/>
  </cols>
  <sheetData>
    <row r="1" spans="1:10">
      <c r="A1" s="2840"/>
      <c r="B1" s="2841"/>
      <c r="C1" s="1662"/>
      <c r="D1" s="1662"/>
      <c r="E1" s="1662"/>
      <c r="F1" s="1662"/>
      <c r="G1" s="1664"/>
      <c r="H1" s="1664"/>
      <c r="I1" s="1707"/>
      <c r="J1" s="1664"/>
    </row>
    <row r="2" spans="1:10" ht="25" customHeight="1">
      <c r="A2" s="2840"/>
      <c r="B2" s="2841"/>
      <c r="C2" s="3114" t="s">
        <v>5810</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2165"/>
      <c r="D4" s="2039"/>
      <c r="E4" s="2039"/>
      <c r="F4" s="2041"/>
      <c r="G4" s="1664"/>
      <c r="H4" s="1664"/>
      <c r="I4" s="1664"/>
      <c r="J4" s="1664"/>
    </row>
    <row r="5" spans="1:10" ht="16" customHeight="1" thickBot="1">
      <c r="A5" s="2840"/>
      <c r="B5" s="2841"/>
      <c r="C5" s="2038" t="str">
        <f>Lead!$B$5&amp;"："&amp;Lead!$C$5</f>
        <v>编制单位：余江县天骏投资管理有限公司</v>
      </c>
      <c r="D5" s="2039"/>
      <c r="E5" s="2040" t="s">
        <v>2554</v>
      </c>
      <c r="F5" s="2041" t="s">
        <v>2555</v>
      </c>
      <c r="G5" s="1664"/>
      <c r="H5" s="1664"/>
      <c r="I5" s="1664"/>
      <c r="J5" s="1664"/>
    </row>
    <row r="6" spans="1:10" ht="18" customHeight="1">
      <c r="A6" s="2840" t="s">
        <v>2556</v>
      </c>
      <c r="B6" s="2841" t="s">
        <v>2558</v>
      </c>
      <c r="C6" s="2166" t="s">
        <v>5134</v>
      </c>
      <c r="D6" s="2167" t="s">
        <v>5848</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0</v>
      </c>
      <c r="F8" s="2128">
        <f t="shared" ref="F8:F20" si="3">VLOOKUP($B8,Sheet_Trialbal,10,0)</f>
        <v>0</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50.09</v>
      </c>
      <c r="F20" s="2128">
        <f t="shared" si="3"/>
        <v>21238.44</v>
      </c>
      <c r="G20" s="1664"/>
      <c r="H20" s="1664"/>
      <c r="I20" s="1664"/>
      <c r="J20" s="1664"/>
    </row>
    <row r="21" spans="1:10" ht="18" customHeight="1">
      <c r="A21" s="2842" t="str">
        <f t="shared" si="0"/>
        <v>＝</v>
      </c>
      <c r="B21" s="2844">
        <v>7048</v>
      </c>
      <c r="C21" s="2075" t="str">
        <f t="shared" si="1"/>
        <v>经营活动现金流入小计</v>
      </c>
      <c r="D21" s="2168"/>
      <c r="E21" s="2125">
        <f>SUM(E8:E20)</f>
        <v>50.09</v>
      </c>
      <c r="F21" s="2128">
        <f>SUM(F8:F20)</f>
        <v>21238.44</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0</v>
      </c>
      <c r="F22" s="2128">
        <f t="shared" ref="F22:F31" si="5">VLOOKUP($B22,Sheet_Trialbal,10,0)</f>
        <v>0</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0</v>
      </c>
      <c r="F29" s="2128">
        <f t="shared" si="5"/>
        <v>0</v>
      </c>
      <c r="G29" s="1664"/>
      <c r="H29" s="1664"/>
      <c r="I29" s="1664"/>
      <c r="J29" s="1664"/>
    </row>
    <row r="30" spans="1:10" ht="18" customHeight="1">
      <c r="A30" s="2842">
        <f t="shared" si="0"/>
        <v>0</v>
      </c>
      <c r="B30" s="2843">
        <v>7071</v>
      </c>
      <c r="C30" s="2079" t="str">
        <f t="shared" si="1"/>
        <v>支付的各项税费</v>
      </c>
      <c r="D30" s="2168"/>
      <c r="E30" s="2125">
        <f t="shared" si="4"/>
        <v>0</v>
      </c>
      <c r="F30" s="2128">
        <f t="shared" si="5"/>
        <v>0</v>
      </c>
      <c r="G30" s="1664"/>
      <c r="H30" s="1664"/>
      <c r="I30" s="1664"/>
      <c r="J30" s="1664"/>
    </row>
    <row r="31" spans="1:10" ht="18" customHeight="1">
      <c r="A31" s="2842">
        <f t="shared" si="0"/>
        <v>0</v>
      </c>
      <c r="B31" s="2843">
        <v>7096</v>
      </c>
      <c r="C31" s="2079" t="str">
        <f t="shared" si="1"/>
        <v>支付其他与经营活动有关的现金</v>
      </c>
      <c r="D31" s="2168"/>
      <c r="E31" s="2125">
        <f t="shared" si="4"/>
        <v>2375</v>
      </c>
      <c r="F31" s="2128">
        <f t="shared" si="5"/>
        <v>3432.76</v>
      </c>
      <c r="G31" s="1664"/>
      <c r="H31" s="1664"/>
      <c r="I31" s="1664"/>
      <c r="J31" s="1664"/>
    </row>
    <row r="32" spans="1:10" ht="18" customHeight="1">
      <c r="A32" s="2842" t="str">
        <f t="shared" si="0"/>
        <v>＝</v>
      </c>
      <c r="B32" s="2844">
        <v>7098</v>
      </c>
      <c r="C32" s="2075" t="str">
        <f t="shared" si="1"/>
        <v>经营活动现金流出小计</v>
      </c>
      <c r="D32" s="2168"/>
      <c r="E32" s="2125">
        <f>SUM(E22:E31)</f>
        <v>2375</v>
      </c>
      <c r="F32" s="2128">
        <f>SUM(F22:F31)</f>
        <v>3432.76</v>
      </c>
      <c r="G32" s="1664"/>
      <c r="H32" s="1664"/>
      <c r="I32" s="1664"/>
      <c r="J32" s="1664"/>
    </row>
    <row r="33" spans="1:10" ht="18" customHeight="1">
      <c r="A33" s="2842" t="str">
        <f t="shared" si="0"/>
        <v>＝</v>
      </c>
      <c r="B33" s="2844">
        <v>7099</v>
      </c>
      <c r="C33" s="2075" t="str">
        <f t="shared" si="1"/>
        <v>经营活动产生的现金流量净额</v>
      </c>
      <c r="D33" s="2168"/>
      <c r="E33" s="2125">
        <f>SUM(E21,-E32)</f>
        <v>-2324.91</v>
      </c>
      <c r="F33" s="2128">
        <f>SUM(F21,-F32)</f>
        <v>17805.68</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0</v>
      </c>
      <c r="F41" s="2128">
        <f>VLOOKUP($B41,Sheet_Trialbal,10,0)</f>
        <v>0</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0</v>
      </c>
      <c r="F46" s="2128">
        <f>SUM(F41:F45)</f>
        <v>0</v>
      </c>
      <c r="G46" s="1664"/>
      <c r="H46" s="1664"/>
      <c r="I46" s="1664"/>
      <c r="J46" s="1664"/>
    </row>
    <row r="47" spans="1:10" ht="18" customHeight="1">
      <c r="A47" s="2842" t="str">
        <f t="shared" si="6"/>
        <v>＝</v>
      </c>
      <c r="B47" s="2843">
        <v>7199</v>
      </c>
      <c r="C47" s="2075" t="str">
        <f t="shared" si="7"/>
        <v>投资活动产生的现金流量净额</v>
      </c>
      <c r="D47" s="2168"/>
      <c r="E47" s="2125">
        <f>SUM(E40,-E46)</f>
        <v>0</v>
      </c>
      <c r="F47" s="2128">
        <f>SUM(F40,-F46)</f>
        <v>0</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0</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-2324.91</v>
      </c>
      <c r="F59" s="2128">
        <f>SUM(F33,F47,F57,F58)</f>
        <v>17805.68</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17805.68</v>
      </c>
      <c r="F60" s="2128">
        <f>VLOOKUP($B60,Sheet_Trialbal,10,0)</f>
        <v>0</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15480.77</v>
      </c>
      <c r="F61" s="2164">
        <f>SUM(F59,F60)</f>
        <v>17805.68</v>
      </c>
      <c r="G61" s="1664"/>
      <c r="H61" s="1664"/>
      <c r="I61" s="1664"/>
      <c r="J61" s="1664"/>
    </row>
    <row r="62" spans="1:16" ht="17">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7">
      <c r="A64" s="2846"/>
      <c r="B64" s="2841"/>
      <c r="C64" s="1743"/>
      <c r="D64" s="1741"/>
      <c r="E64" s="1664"/>
      <c r="F64" s="1664"/>
      <c r="G64" s="1664"/>
      <c r="H64" s="1664"/>
      <c r="I64" s="1664"/>
      <c r="J64" s="1664"/>
      <c r="K64" s="1664"/>
      <c r="L64" s="1664"/>
      <c r="M64" s="1664"/>
      <c r="N64" s="1664"/>
      <c r="O64" s="1664"/>
      <c r="P64" s="1664"/>
    </row>
    <row r="65" spans="1:16" ht="17.5" thickBot="1">
      <c r="A65" s="2846"/>
      <c r="B65" s="2841"/>
      <c r="C65" s="1744" t="s">
        <v>5773</v>
      </c>
      <c r="D65" s="1745"/>
      <c r="E65" s="1746"/>
      <c r="F65" s="1746"/>
      <c r="G65" s="1664"/>
      <c r="H65" s="1664"/>
      <c r="I65" s="1664"/>
      <c r="J65" s="1664"/>
      <c r="K65" s="1664"/>
      <c r="L65" s="1664"/>
      <c r="M65" s="1664"/>
      <c r="N65" s="1664"/>
      <c r="O65" s="1664"/>
      <c r="P65" s="1664"/>
    </row>
    <row r="66" spans="1:16" ht="17">
      <c r="A66" s="2846"/>
      <c r="B66" s="2841"/>
      <c r="C66" s="1747" t="s">
        <v>5774</v>
      </c>
      <c r="D66" s="1748"/>
      <c r="E66" s="1749" t="s">
        <v>2587</v>
      </c>
      <c r="F66" s="1750" t="s">
        <v>2588</v>
      </c>
      <c r="G66" s="1751"/>
      <c r="H66" s="1751"/>
      <c r="I66" s="1751"/>
      <c r="J66" s="1664"/>
    </row>
    <row r="67" spans="1:16" ht="17">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7">
      <c r="A68" s="2847">
        <f t="shared" si="8"/>
        <v>0</v>
      </c>
      <c r="B68" s="2844">
        <v>7502</v>
      </c>
      <c r="C68" s="1756" t="str">
        <f t="shared" si="9"/>
        <v>净利润</v>
      </c>
      <c r="D68" s="1753"/>
      <c r="E68" s="1754">
        <f>VLOOKUP(6799,Sheet_Trialbal,6,0)</f>
        <v>-2324.91</v>
      </c>
      <c r="F68" s="1755">
        <f>VLOOKUP(6799,Sheet_Trialbal,10,0)</f>
        <v>-1714.32</v>
      </c>
      <c r="G68" s="1751"/>
      <c r="H68" s="1751"/>
      <c r="I68" s="1751"/>
      <c r="J68" s="1664"/>
    </row>
    <row r="69" spans="1:16" ht="17">
      <c r="A69" s="2847">
        <f t="shared" si="8"/>
        <v>0</v>
      </c>
      <c r="B69" s="2844">
        <v>7503</v>
      </c>
      <c r="C69" s="1756" t="str">
        <f>VLOOKUP($B69,Sheet_Items,6,0)</f>
        <v>加：资产减值准备</v>
      </c>
      <c r="D69" s="1753"/>
      <c r="E69" s="1754">
        <f t="shared" ref="E69:E84" si="10">VLOOKUP($B69,Sheet_Trialbal,6,0)</f>
        <v>0</v>
      </c>
      <c r="F69" s="1755">
        <f t="shared" ref="F69:F84" si="11">VLOOKUP($B69,Sheet_Trialbal,10,0)</f>
        <v>0</v>
      </c>
      <c r="G69" s="1751"/>
      <c r="H69" s="1751"/>
      <c r="I69" s="1751"/>
      <c r="J69" s="1664"/>
    </row>
    <row r="70" spans="1:16" ht="17">
      <c r="A70" s="2847"/>
      <c r="B70" s="2844">
        <v>7504</v>
      </c>
      <c r="C70" s="1756" t="str">
        <f t="shared" si="9"/>
        <v>信用减值损失</v>
      </c>
      <c r="D70" s="1753"/>
      <c r="E70" s="1754">
        <f t="shared" si="10"/>
        <v>0</v>
      </c>
      <c r="F70" s="1755">
        <f t="shared" si="11"/>
        <v>0</v>
      </c>
      <c r="G70" s="1751"/>
      <c r="H70" s="1751"/>
      <c r="I70" s="1751"/>
      <c r="J70" s="1664"/>
    </row>
    <row r="71" spans="1:16" ht="17">
      <c r="A71" s="2847">
        <f t="shared" si="8"/>
        <v>0</v>
      </c>
      <c r="B71" s="2844">
        <v>7505</v>
      </c>
      <c r="C71" s="1756" t="str">
        <f t="shared" si="9"/>
        <v>固定资产折旧、投资性房地产折旧、油气资产折耗、生产性生物资产折旧</v>
      </c>
      <c r="D71" s="1753"/>
      <c r="E71" s="1754">
        <f t="shared" si="10"/>
        <v>0</v>
      </c>
      <c r="F71" s="1755">
        <f t="shared" si="11"/>
        <v>0</v>
      </c>
      <c r="G71" s="1751"/>
      <c r="H71" s="1751"/>
      <c r="I71" s="1751"/>
      <c r="J71" s="1664"/>
    </row>
    <row r="72" spans="1:16" ht="17">
      <c r="A72" s="2847">
        <f t="shared" si="8"/>
        <v>0</v>
      </c>
      <c r="B72" s="2844">
        <v>7506</v>
      </c>
      <c r="C72" s="1756" t="str">
        <f t="shared" si="9"/>
        <v>无形资产摊销</v>
      </c>
      <c r="D72" s="1753"/>
      <c r="E72" s="1754">
        <f t="shared" si="10"/>
        <v>0</v>
      </c>
      <c r="F72" s="1755">
        <f t="shared" si="11"/>
        <v>0</v>
      </c>
      <c r="G72" s="1751"/>
      <c r="H72" s="1751"/>
      <c r="I72" s="1751"/>
      <c r="J72" s="1664"/>
    </row>
    <row r="73" spans="1:16" ht="17">
      <c r="A73" s="2847">
        <f t="shared" si="8"/>
        <v>0</v>
      </c>
      <c r="B73" s="2844">
        <v>7507</v>
      </c>
      <c r="C73" s="1756" t="str">
        <f t="shared" si="9"/>
        <v>长期待摊费用摊销</v>
      </c>
      <c r="D73" s="1753"/>
      <c r="E73" s="1754">
        <f t="shared" si="10"/>
        <v>0</v>
      </c>
      <c r="F73" s="1755">
        <f t="shared" si="11"/>
        <v>0</v>
      </c>
      <c r="G73" s="1751"/>
      <c r="H73" s="1751"/>
      <c r="I73" s="1751"/>
      <c r="J73" s="1664"/>
    </row>
    <row r="74" spans="1:16" ht="17">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7">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7">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7">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7">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7">
      <c r="A79" s="2847">
        <f t="shared" si="8"/>
        <v>0</v>
      </c>
      <c r="B79" s="2844">
        <v>7515</v>
      </c>
      <c r="C79" s="1756" t="str">
        <f t="shared" si="9"/>
        <v>递延所得税资产减少（增加以“－”号填列）</v>
      </c>
      <c r="D79" s="1753"/>
      <c r="E79" s="1754">
        <f t="shared" si="10"/>
        <v>0</v>
      </c>
      <c r="F79" s="1755">
        <f t="shared" si="11"/>
        <v>0</v>
      </c>
      <c r="G79" s="1751"/>
      <c r="H79" s="1751"/>
      <c r="I79" s="1751"/>
      <c r="J79" s="1664"/>
    </row>
    <row r="80" spans="1:16" ht="17">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7">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7">
      <c r="A82" s="2847">
        <f t="shared" si="8"/>
        <v>0</v>
      </c>
      <c r="B82" s="2844">
        <v>7518</v>
      </c>
      <c r="C82" s="1756" t="str">
        <f t="shared" si="9"/>
        <v>经营性应收项目的减少（增加以“－”号填列）</v>
      </c>
      <c r="D82" s="1753"/>
      <c r="E82" s="1754">
        <f t="shared" si="10"/>
        <v>0</v>
      </c>
      <c r="F82" s="1755">
        <f t="shared" si="11"/>
        <v>0</v>
      </c>
      <c r="G82" s="1751"/>
      <c r="H82" s="1751"/>
      <c r="I82" s="1751"/>
      <c r="J82" s="1664"/>
    </row>
    <row r="83" spans="1:10" ht="17">
      <c r="A83" s="2847">
        <f t="shared" si="8"/>
        <v>0</v>
      </c>
      <c r="B83" s="2844">
        <v>7519</v>
      </c>
      <c r="C83" s="1756" t="str">
        <f t="shared" si="9"/>
        <v>经营性应付项目的增加（减少以“－”号填列）</v>
      </c>
      <c r="D83" s="1753"/>
      <c r="E83" s="1754">
        <f t="shared" si="10"/>
        <v>0</v>
      </c>
      <c r="F83" s="1755">
        <f t="shared" si="11"/>
        <v>19520</v>
      </c>
      <c r="G83" s="1751"/>
      <c r="H83" s="1751"/>
      <c r="I83" s="1751"/>
      <c r="J83" s="1664"/>
    </row>
    <row r="84" spans="1:10" ht="17">
      <c r="A84" s="2847">
        <f t="shared" si="8"/>
        <v>0</v>
      </c>
      <c r="B84" s="2844">
        <v>7523</v>
      </c>
      <c r="C84" s="1756" t="str">
        <f t="shared" si="9"/>
        <v>其他</v>
      </c>
      <c r="D84" s="1753"/>
      <c r="E84" s="1754">
        <f t="shared" si="10"/>
        <v>0</v>
      </c>
      <c r="F84" s="1755">
        <f t="shared" si="11"/>
        <v>0</v>
      </c>
      <c r="G84" s="1751"/>
      <c r="H84" s="1751"/>
      <c r="I84" s="1751"/>
      <c r="J84" s="1664"/>
    </row>
    <row r="85" spans="1:10" ht="17">
      <c r="A85" s="2847" t="str">
        <f t="shared" si="8"/>
        <v>＝</v>
      </c>
      <c r="B85" s="2844">
        <v>7525</v>
      </c>
      <c r="C85" s="1757" t="str">
        <f t="shared" si="9"/>
        <v>经营活动产生的现金流量净额</v>
      </c>
      <c r="D85" s="1753"/>
      <c r="E85" s="1758">
        <f>SUM(E68:E84)</f>
        <v>-2324.91</v>
      </c>
      <c r="F85" s="1759">
        <f>SUM(F68:F84)</f>
        <v>17805.68</v>
      </c>
      <c r="G85" s="1751"/>
      <c r="H85" s="1751"/>
      <c r="I85" s="1751"/>
      <c r="J85" s="1664"/>
    </row>
    <row r="86" spans="1:10" ht="17">
      <c r="A86" s="2847" t="str">
        <f t="shared" si="8"/>
        <v>：</v>
      </c>
      <c r="B86" s="2844">
        <v>7526</v>
      </c>
      <c r="C86" s="1752" t="str">
        <f t="shared" si="9"/>
        <v>2.不涉及现金收支的重大投资和筹资活动：</v>
      </c>
      <c r="D86" s="1753"/>
      <c r="E86" s="1754"/>
      <c r="F86" s="1755"/>
      <c r="G86" s="1751"/>
      <c r="H86" s="1751"/>
      <c r="I86" s="1751"/>
      <c r="J86" s="1664"/>
    </row>
    <row r="87" spans="1:10" ht="17">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7">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7">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7">
      <c r="A90" s="2847" t="str">
        <f t="shared" si="8"/>
        <v>：</v>
      </c>
      <c r="B90" s="2844">
        <v>7533</v>
      </c>
      <c r="C90" s="1752" t="str">
        <f t="shared" si="9"/>
        <v>3.现金及现金等价物净变动情况：</v>
      </c>
      <c r="D90" s="1753"/>
      <c r="E90" s="1754"/>
      <c r="F90" s="1755"/>
      <c r="G90" s="1751"/>
      <c r="H90" s="1751"/>
      <c r="I90" s="1751"/>
      <c r="J90" s="1664"/>
    </row>
    <row r="91" spans="1:10" ht="17">
      <c r="A91" s="2847">
        <f t="shared" si="8"/>
        <v>0</v>
      </c>
      <c r="B91" s="2844">
        <v>7535</v>
      </c>
      <c r="C91" s="1756" t="str">
        <f t="shared" si="9"/>
        <v>现金的期末余额</v>
      </c>
      <c r="D91" s="1753"/>
      <c r="E91" s="1754">
        <f>VLOOKUP($B91,Sheet_Trialbal,6,0)</f>
        <v>15480.77</v>
      </c>
      <c r="F91" s="1755">
        <f>VLOOKUP($B91,Sheet_Trialbal,10,0)</f>
        <v>17805.68</v>
      </c>
      <c r="G91" s="1751"/>
      <c r="H91" s="1751"/>
      <c r="I91" s="1751"/>
      <c r="J91" s="1664"/>
    </row>
    <row r="92" spans="1:10" ht="17">
      <c r="A92" s="2847">
        <f t="shared" si="8"/>
        <v>0</v>
      </c>
      <c r="B92" s="2844">
        <v>7536</v>
      </c>
      <c r="C92" s="1756" t="str">
        <f t="shared" si="9"/>
        <v>减：现金的年初余额</v>
      </c>
      <c r="D92" s="1753"/>
      <c r="E92" s="1754">
        <f>VLOOKUP($B92,Sheet_Trialbal,6,0)</f>
        <v>17805.68</v>
      </c>
      <c r="F92" s="1755">
        <f>VLOOKUP($B92,Sheet_Trialbal,10,0)</f>
        <v>0</v>
      </c>
      <c r="G92" s="1751"/>
      <c r="H92" s="1751"/>
      <c r="I92" s="1751"/>
      <c r="J92" s="1664"/>
    </row>
    <row r="93" spans="1:10" ht="17">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7">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7.5" thickBot="1">
      <c r="A95" s="2847" t="str">
        <f t="shared" si="8"/>
        <v>＝</v>
      </c>
      <c r="B95" s="2844">
        <v>7539</v>
      </c>
      <c r="C95" s="1760" t="str">
        <f t="shared" si="9"/>
        <v>现金及现金等价物净增加额</v>
      </c>
      <c r="D95" s="1761"/>
      <c r="E95" s="1762">
        <f>SUM(E91,-E92,E93,-E94)</f>
        <v>-2324.91</v>
      </c>
      <c r="F95" s="1763">
        <f>SUM(F91,-F92,F93,-F94)</f>
        <v>17805.68</v>
      </c>
      <c r="G95" s="1751"/>
      <c r="H95" s="1751"/>
      <c r="I95" s="1751"/>
      <c r="J95" s="1664"/>
    </row>
    <row r="96" spans="1:10" ht="17.5" thickBot="1">
      <c r="A96" s="2848"/>
      <c r="B96" s="2849"/>
      <c r="C96" s="1764"/>
      <c r="D96" s="1765"/>
      <c r="E96" s="1766"/>
      <c r="F96" s="1766"/>
      <c r="G96" s="1751"/>
      <c r="H96" s="1751"/>
      <c r="I96" s="1751"/>
      <c r="J96" s="1664"/>
    </row>
    <row r="97" spans="1:10" ht="17">
      <c r="A97" s="2847"/>
      <c r="B97" s="2844"/>
      <c r="C97" s="1767" t="s">
        <v>5775</v>
      </c>
      <c r="D97" s="1768"/>
      <c r="E97" s="1769"/>
      <c r="F97" s="1770"/>
      <c r="G97" s="1771"/>
      <c r="H97" s="1771"/>
      <c r="I97" s="1751"/>
      <c r="J97" s="1664"/>
    </row>
    <row r="98" spans="1:10" ht="17">
      <c r="A98" s="2847"/>
      <c r="B98" s="2844"/>
      <c r="C98" s="1772" t="s">
        <v>5776</v>
      </c>
      <c r="D98" s="1773"/>
      <c r="E98" s="1774" t="s">
        <v>2577</v>
      </c>
      <c r="F98" s="1775" t="s">
        <v>2578</v>
      </c>
      <c r="G98" s="1771"/>
      <c r="H98" s="1771"/>
      <c r="I98" s="1751"/>
      <c r="J98" s="1664"/>
    </row>
    <row r="99" spans="1:10" ht="17">
      <c r="A99" s="2847"/>
      <c r="B99" s="2844"/>
      <c r="C99" s="1776" t="s">
        <v>5777</v>
      </c>
      <c r="D99" s="1777"/>
      <c r="E99" s="1778"/>
      <c r="F99" s="1779"/>
      <c r="G99" s="853"/>
      <c r="H99" s="853"/>
      <c r="I99" s="1751"/>
      <c r="J99" s="1664"/>
    </row>
    <row r="100" spans="1:10" ht="17">
      <c r="A100" s="2847"/>
      <c r="B100" s="2844"/>
      <c r="C100" s="1780" t="str">
        <f>C60&amp;" | "&amp;E98</f>
        <v>加：期初现金及现金等价物余额 | 本期金额</v>
      </c>
      <c r="D100" s="1777" t="s">
        <v>5778</v>
      </c>
      <c r="E100" s="1781">
        <f>E60</f>
        <v>17805.68</v>
      </c>
      <c r="F100" s="1782"/>
      <c r="G100" s="853"/>
      <c r="H100" s="853"/>
      <c r="I100" s="1751"/>
      <c r="J100" s="1664"/>
    </row>
    <row r="101" spans="1:10" ht="17">
      <c r="A101" s="2847"/>
      <c r="B101" s="2844"/>
      <c r="C101" s="1780" t="str">
        <f>C61&amp;" | "&amp;F98</f>
        <v>六、期末现金及现金等价物余额 | 上期金额</v>
      </c>
      <c r="D101" s="1777" t="s">
        <v>5778</v>
      </c>
      <c r="E101" s="1781">
        <f>F61</f>
        <v>17805.68</v>
      </c>
      <c r="F101" s="1782"/>
      <c r="G101" s="853"/>
      <c r="H101" s="853"/>
      <c r="I101" s="1751"/>
      <c r="J101" s="1664"/>
    </row>
    <row r="102" spans="1:10" ht="17.5" thickBot="1">
      <c r="A102" s="2847"/>
      <c r="B102" s="2844"/>
      <c r="C102" s="1783" t="s">
        <v>5779</v>
      </c>
      <c r="D102" s="1777"/>
      <c r="E102" s="1784">
        <f>ROUND(E100-E101,2)</f>
        <v>0</v>
      </c>
      <c r="F102" s="1785"/>
      <c r="G102" s="853"/>
      <c r="H102" s="853"/>
      <c r="I102" s="1751"/>
      <c r="J102" s="1664"/>
    </row>
    <row r="103" spans="1:10" ht="17.5" thickTop="1">
      <c r="A103" s="2847"/>
      <c r="B103" s="2844"/>
      <c r="C103" s="1786" t="s">
        <v>5780</v>
      </c>
      <c r="D103" s="1777"/>
      <c r="E103" s="1787" t="str">
        <f>IF(E102=0,"√","×")</f>
        <v>√</v>
      </c>
      <c r="F103" s="1788"/>
      <c r="G103" s="853"/>
      <c r="H103" s="853"/>
      <c r="I103" s="1751"/>
      <c r="J103" s="1664"/>
    </row>
    <row r="104" spans="1:10" ht="17">
      <c r="A104" s="2847"/>
      <c r="B104" s="2844"/>
      <c r="C104" s="1789" t="s">
        <v>5781</v>
      </c>
      <c r="D104" s="1777"/>
      <c r="E104" s="1778"/>
      <c r="F104" s="1779"/>
      <c r="G104" s="853"/>
      <c r="H104" s="853"/>
      <c r="I104" s="1751"/>
      <c r="J104" s="1664"/>
    </row>
    <row r="105" spans="1:10" ht="17">
      <c r="A105" s="2847"/>
      <c r="B105" s="2844"/>
      <c r="C105" s="1790" t="str">
        <f>C68</f>
        <v>净利润</v>
      </c>
      <c r="D105" s="1777" t="s">
        <v>5778</v>
      </c>
      <c r="E105" s="1781">
        <f>E68</f>
        <v>-2324.91</v>
      </c>
      <c r="F105" s="1782">
        <f>F68</f>
        <v>-1714.32</v>
      </c>
      <c r="G105" s="853"/>
      <c r="H105" s="853"/>
      <c r="I105" s="1751"/>
      <c r="J105" s="1664"/>
    </row>
    <row r="106" spans="1:10" ht="17">
      <c r="A106" s="2847"/>
      <c r="B106" s="2844">
        <v>6799</v>
      </c>
      <c r="C106" s="1780" t="str">
        <f>VLOOKUP($B106,Sheet_Items,2,0)</f>
        <v>净利润</v>
      </c>
      <c r="D106" s="1777" t="s">
        <v>5782</v>
      </c>
      <c r="E106" s="1781">
        <f>IncomeStatement!E43</f>
        <v>-2324.91</v>
      </c>
      <c r="F106" s="1782">
        <f>IncomeStatement!F43</f>
        <v>-1714.32</v>
      </c>
      <c r="G106" s="853"/>
      <c r="H106" s="853"/>
      <c r="I106" s="1751"/>
      <c r="J106" s="1664"/>
    </row>
    <row r="107" spans="1:10" ht="17.5" thickBot="1">
      <c r="A107" s="2847"/>
      <c r="B107" s="2844"/>
      <c r="C107" s="1783" t="s">
        <v>5779</v>
      </c>
      <c r="D107" s="1777"/>
      <c r="E107" s="1784">
        <f>ROUND(E105-E106,2)</f>
        <v>0</v>
      </c>
      <c r="F107" s="1785">
        <f>ROUND(F105-F106,2)</f>
        <v>0</v>
      </c>
      <c r="G107" s="853"/>
      <c r="H107" s="853"/>
      <c r="I107" s="1751"/>
      <c r="J107" s="1664"/>
    </row>
    <row r="108" spans="1:10" ht="17.5" thickTop="1">
      <c r="A108" s="2847"/>
      <c r="B108" s="2844"/>
      <c r="C108" s="1786" t="s">
        <v>5780</v>
      </c>
      <c r="D108" s="1777"/>
      <c r="E108" s="1787" t="str">
        <f>IF(E107=0,"√","×")</f>
        <v>√</v>
      </c>
      <c r="F108" s="1788" t="str">
        <f>IF(F107=0,"√","×")</f>
        <v>√</v>
      </c>
      <c r="G108" s="853"/>
      <c r="H108" s="853"/>
      <c r="I108" s="1751"/>
      <c r="J108" s="1664"/>
    </row>
    <row r="109" spans="1:10" ht="17">
      <c r="A109" s="2847"/>
      <c r="B109" s="2844"/>
      <c r="C109" s="1789" t="s">
        <v>2591</v>
      </c>
      <c r="D109" s="1777"/>
      <c r="E109" s="1778"/>
      <c r="F109" s="1779"/>
      <c r="G109" s="853"/>
      <c r="H109" s="853"/>
      <c r="I109" s="1751"/>
      <c r="J109" s="1664"/>
    </row>
    <row r="110" spans="1:10" ht="17">
      <c r="A110" s="2847"/>
      <c r="B110" s="2844"/>
      <c r="C110" s="1790" t="str">
        <f>C85&amp;"（补充资料）"</f>
        <v>经营活动产生的现金流量净额（补充资料）</v>
      </c>
      <c r="D110" s="1777" t="s">
        <v>5778</v>
      </c>
      <c r="E110" s="1781">
        <f>E85</f>
        <v>-2324.91</v>
      </c>
      <c r="F110" s="1782">
        <f>F85</f>
        <v>17805.68</v>
      </c>
      <c r="G110" s="853"/>
      <c r="H110" s="853"/>
      <c r="I110" s="1751"/>
      <c r="J110" s="1664"/>
    </row>
    <row r="111" spans="1:10" ht="17">
      <c r="A111" s="2847"/>
      <c r="B111" s="2844">
        <v>7099</v>
      </c>
      <c r="C111" s="1780" t="str">
        <f>C33&amp;"（主表）"</f>
        <v>经营活动产生的现金流量净额（主表）</v>
      </c>
      <c r="D111" s="1777" t="s">
        <v>5778</v>
      </c>
      <c r="E111" s="1781">
        <f>E33</f>
        <v>-2324.91</v>
      </c>
      <c r="F111" s="1782">
        <f>F33</f>
        <v>17805.68</v>
      </c>
      <c r="G111" s="853"/>
      <c r="H111" s="853"/>
      <c r="I111" s="1751"/>
      <c r="J111" s="1664"/>
    </row>
    <row r="112" spans="1:10" ht="17.5" thickBot="1">
      <c r="A112" s="2847"/>
      <c r="B112" s="2844"/>
      <c r="C112" s="1783" t="s">
        <v>5779</v>
      </c>
      <c r="D112" s="1777"/>
      <c r="E112" s="1784">
        <f>ROUND(E110-E111,2)</f>
        <v>0</v>
      </c>
      <c r="F112" s="1785">
        <f>ROUND(F110-F111,2)</f>
        <v>0</v>
      </c>
      <c r="G112" s="853"/>
      <c r="H112" s="853"/>
      <c r="I112" s="1751"/>
      <c r="J112" s="1664"/>
    </row>
    <row r="113" spans="1:10" ht="17.5" thickTop="1">
      <c r="A113" s="2847"/>
      <c r="B113" s="2850"/>
      <c r="C113" s="1786" t="s">
        <v>5780</v>
      </c>
      <c r="D113" s="1777"/>
      <c r="E113" s="1787" t="str">
        <f>IF(E112=0,"√","×")</f>
        <v>√</v>
      </c>
      <c r="F113" s="1788" t="str">
        <f>IF(F112=0,"√","×")</f>
        <v>√</v>
      </c>
      <c r="G113" s="853"/>
      <c r="H113" s="853"/>
      <c r="I113" s="1751"/>
      <c r="J113" s="1664"/>
    </row>
    <row r="114" spans="1:10" ht="17">
      <c r="A114" s="2847"/>
      <c r="B114" s="2850"/>
      <c r="C114" s="1790" t="str">
        <f>C91&amp;" "&amp;C93</f>
        <v>现金的期末余额 加：现金等价物的期末余额</v>
      </c>
      <c r="D114" s="1777" t="s">
        <v>5778</v>
      </c>
      <c r="E114" s="1781">
        <f>SUM(E91,E93)</f>
        <v>15480.77</v>
      </c>
      <c r="F114" s="1782">
        <f>SUM(F91,F93)</f>
        <v>17805.68</v>
      </c>
      <c r="G114" s="853"/>
      <c r="H114" s="853"/>
      <c r="I114" s="1751"/>
      <c r="J114" s="1664"/>
    </row>
    <row r="115" spans="1:10" ht="17">
      <c r="A115" s="2847"/>
      <c r="B115" s="2850">
        <v>7399</v>
      </c>
      <c r="C115" s="1780" t="str">
        <f>C61&amp;"（主表）"</f>
        <v>六、期末现金及现金等价物余额（主表）</v>
      </c>
      <c r="D115" s="1777" t="s">
        <v>5778</v>
      </c>
      <c r="E115" s="1781">
        <f>E61</f>
        <v>15480.77</v>
      </c>
      <c r="F115" s="1782">
        <f>F61</f>
        <v>17805.68</v>
      </c>
      <c r="G115" s="853"/>
      <c r="H115" s="853"/>
      <c r="I115" s="1751"/>
      <c r="J115" s="1664"/>
    </row>
    <row r="116" spans="1:10" ht="17.5" thickBot="1">
      <c r="A116" s="2847"/>
      <c r="B116" s="2850"/>
      <c r="C116" s="1783" t="s">
        <v>5779</v>
      </c>
      <c r="D116" s="1777"/>
      <c r="E116" s="1784">
        <f>ROUND(E114-E115,2)</f>
        <v>0</v>
      </c>
      <c r="F116" s="1785">
        <f>ROUND(F114-F115,2)</f>
        <v>0</v>
      </c>
      <c r="G116" s="853"/>
      <c r="H116" s="853"/>
      <c r="I116" s="1751"/>
      <c r="J116" s="1664"/>
    </row>
    <row r="117" spans="1:10" ht="17.5" thickTop="1">
      <c r="A117" s="2847"/>
      <c r="B117" s="2850"/>
      <c r="C117" s="1786" t="s">
        <v>5780</v>
      </c>
      <c r="D117" s="1777"/>
      <c r="E117" s="1787" t="str">
        <f>IF(E116=0,"√","×")</f>
        <v>√</v>
      </c>
      <c r="F117" s="1788" t="str">
        <f>IF(F116=0,"√","×")</f>
        <v>√</v>
      </c>
      <c r="G117" s="853"/>
      <c r="H117" s="853"/>
      <c r="I117" s="1751"/>
      <c r="J117" s="1664"/>
    </row>
    <row r="118" spans="1:10" ht="17">
      <c r="A118" s="2847"/>
      <c r="B118" s="2850"/>
      <c r="C118" s="1790" t="str">
        <f>C92&amp;" "&amp;C94</f>
        <v>减：现金的年初余额 减：现金等价物的年初余额</v>
      </c>
      <c r="D118" s="1777" t="s">
        <v>5778</v>
      </c>
      <c r="E118" s="1781">
        <f>SUM(E92,E94)</f>
        <v>17805.68</v>
      </c>
      <c r="F118" s="1782">
        <f>SUM(F92,F94)</f>
        <v>0</v>
      </c>
      <c r="G118" s="853"/>
      <c r="H118" s="853"/>
      <c r="I118" s="1751"/>
      <c r="J118" s="1664"/>
    </row>
    <row r="119" spans="1:10" ht="17">
      <c r="A119" s="2847"/>
      <c r="B119" s="2850">
        <v>7349</v>
      </c>
      <c r="C119" s="1780" t="str">
        <f>C60&amp;"（主表）"</f>
        <v>加：期初现金及现金等价物余额（主表）</v>
      </c>
      <c r="D119" s="1777" t="s">
        <v>5778</v>
      </c>
      <c r="E119" s="1781">
        <f>E60</f>
        <v>17805.68</v>
      </c>
      <c r="F119" s="1782">
        <f>F60</f>
        <v>0</v>
      </c>
      <c r="G119" s="853"/>
      <c r="H119" s="853"/>
      <c r="I119" s="1751"/>
      <c r="J119" s="1664"/>
    </row>
    <row r="120" spans="1:10" ht="17.5" thickBot="1">
      <c r="A120" s="2847"/>
      <c r="B120" s="2850"/>
      <c r="C120" s="1783" t="s">
        <v>5779</v>
      </c>
      <c r="D120" s="1777"/>
      <c r="E120" s="1784">
        <f>ROUND(E118-E119,2)</f>
        <v>0</v>
      </c>
      <c r="F120" s="1785">
        <f>ROUND(F118-F119,2)</f>
        <v>0</v>
      </c>
      <c r="G120" s="853"/>
      <c r="H120" s="853"/>
      <c r="I120" s="1751"/>
      <c r="J120" s="1664"/>
    </row>
    <row r="121" spans="1:10" ht="17.5" thickTop="1">
      <c r="A121" s="2847"/>
      <c r="B121" s="2850"/>
      <c r="C121" s="1786" t="s">
        <v>5780</v>
      </c>
      <c r="D121" s="1777"/>
      <c r="E121" s="1787" t="str">
        <f>IF(E120=0,"√","×")</f>
        <v>√</v>
      </c>
      <c r="F121" s="1788" t="str">
        <f>IF(F120=0,"√","×")</f>
        <v>√</v>
      </c>
      <c r="G121" s="853"/>
      <c r="H121" s="853"/>
      <c r="I121" s="1751"/>
      <c r="J121" s="1664"/>
    </row>
    <row r="122" spans="1:10" ht="17">
      <c r="A122" s="2847"/>
      <c r="B122" s="2850"/>
      <c r="C122" s="1790" t="str">
        <f>C95&amp;"（补充资料）"</f>
        <v>现金及现金等价物净增加额（补充资料）</v>
      </c>
      <c r="D122" s="1777" t="s">
        <v>5778</v>
      </c>
      <c r="E122" s="1781">
        <f>E95</f>
        <v>-2324.91</v>
      </c>
      <c r="F122" s="1782">
        <f>F95</f>
        <v>17805.68</v>
      </c>
      <c r="G122" s="853"/>
      <c r="H122" s="853"/>
      <c r="I122" s="1751"/>
      <c r="J122" s="1664"/>
    </row>
    <row r="123" spans="1:10" ht="17">
      <c r="A123" s="2847"/>
      <c r="B123" s="2850">
        <v>7348</v>
      </c>
      <c r="C123" s="1780" t="str">
        <f>C59&amp;"（主表）"</f>
        <v>五、现金及现金等价物净增加额（主表）</v>
      </c>
      <c r="D123" s="1777" t="s">
        <v>5783</v>
      </c>
      <c r="E123" s="1781">
        <f>E59</f>
        <v>-2324.91</v>
      </c>
      <c r="F123" s="1782">
        <f>F59</f>
        <v>17805.68</v>
      </c>
      <c r="G123" s="853"/>
      <c r="H123" s="853"/>
      <c r="I123" s="1751"/>
      <c r="J123" s="1664"/>
    </row>
    <row r="124" spans="1:10" ht="17.5" thickBot="1">
      <c r="A124" s="2847"/>
      <c r="B124" s="2850"/>
      <c r="C124" s="1783" t="s">
        <v>5772</v>
      </c>
      <c r="D124" s="1777"/>
      <c r="E124" s="1784">
        <f>ROUND(E122-E123,2)</f>
        <v>0</v>
      </c>
      <c r="F124" s="1785">
        <f>ROUND(F122-F123,2)</f>
        <v>0</v>
      </c>
      <c r="G124" s="853"/>
      <c r="H124" s="853"/>
      <c r="I124" s="1751"/>
      <c r="J124" s="1664"/>
    </row>
    <row r="125" spans="1:10" ht="17.5" thickTop="1">
      <c r="A125" s="2847"/>
      <c r="B125" s="2850"/>
      <c r="C125" s="1786" t="s">
        <v>5769</v>
      </c>
      <c r="D125" s="1777"/>
      <c r="E125" s="1787" t="str">
        <f>IF(E124=0,"√","×")</f>
        <v>√</v>
      </c>
      <c r="F125" s="1788" t="str">
        <f>IF(F124=0,"√","×")</f>
        <v>√</v>
      </c>
      <c r="G125" s="853"/>
      <c r="H125" s="853"/>
      <c r="I125" s="1751"/>
      <c r="J125" s="1664"/>
    </row>
    <row r="126" spans="1:10" ht="1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7">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49" priority="6" stopIfTrue="1" operator="notEqual">
      <formula>0</formula>
    </cfRule>
  </conditionalFormatting>
  <conditionalFormatting sqref="C97:D97 D98">
    <cfRule type="expression" dxfId="3848" priority="5" stopIfTrue="1">
      <formula>#REF!=TRUE</formula>
    </cfRule>
  </conditionalFormatting>
  <conditionalFormatting sqref="E126:F126 E112:F112 E107:F107 E116:F116 E120:F120 E124:F124 E102:F102">
    <cfRule type="cellIs" dxfId="3847" priority="4" stopIfTrue="1" operator="notEqual">
      <formula>0</formula>
    </cfRule>
  </conditionalFormatting>
  <conditionalFormatting sqref="E126:F126 E112:F112 E107:F107 E116:F116 E120:F120 E124:F124 E102:F102">
    <cfRule type="cellIs" dxfId="3846" priority="3" stopIfTrue="1" operator="notEqual">
      <formula>0</formula>
    </cfRule>
  </conditionalFormatting>
  <conditionalFormatting sqref="C97:D97 D98">
    <cfRule type="expression" dxfId="3845" priority="2" stopIfTrue="1">
      <formula>#REF!=TRUE</formula>
    </cfRule>
  </conditionalFormatting>
  <conditionalFormatting sqref="E126:F126 E112:F112 E107:F107 E116:F116 E120:F120 E124:F124 E102:F102">
    <cfRule type="cellIs" dxfId="384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3"/>
  <cols>
    <col min="1" max="2" width="9.765625E-2" style="1799" customWidth="1"/>
    <col min="3" max="3" width="52.69921875" style="1804" customWidth="1"/>
    <col min="4" max="14" width="13.69921875" style="1804" customWidth="1"/>
    <col min="15" max="15" width="6.69921875" style="1804" hidden="1" customWidth="1"/>
    <col min="16" max="16" width="14.69921875" style="1804" customWidth="1"/>
    <col min="17" max="27" width="13.69921875" style="1804" customWidth="1"/>
    <col min="28" max="28" width="6.69921875" style="1804" hidden="1" customWidth="1"/>
    <col min="29" max="29" width="14.69921875" style="1804" customWidth="1"/>
    <col min="30" max="256" width="9.09765625" style="1804"/>
    <col min="257" max="258" width="9.765625E-2" style="1804" customWidth="1"/>
    <col min="259" max="259" width="52.69921875" style="1804" customWidth="1"/>
    <col min="260" max="270" width="12.69921875" style="1804" customWidth="1"/>
    <col min="271" max="271" width="6.69921875" style="1804" customWidth="1"/>
    <col min="272" max="272" width="14.69921875" style="1804" customWidth="1"/>
    <col min="273" max="283" width="12.69921875" style="1804" customWidth="1"/>
    <col min="284" max="284" width="6.69921875" style="1804" customWidth="1"/>
    <col min="285" max="285" width="14.69921875" style="1804" customWidth="1"/>
    <col min="286" max="512" width="9.09765625" style="1804"/>
    <col min="513" max="514" width="9.765625E-2" style="1804" customWidth="1"/>
    <col min="515" max="515" width="52.69921875" style="1804" customWidth="1"/>
    <col min="516" max="526" width="12.69921875" style="1804" customWidth="1"/>
    <col min="527" max="527" width="6.69921875" style="1804" customWidth="1"/>
    <col min="528" max="528" width="14.69921875" style="1804" customWidth="1"/>
    <col min="529" max="539" width="12.69921875" style="1804" customWidth="1"/>
    <col min="540" max="540" width="6.69921875" style="1804" customWidth="1"/>
    <col min="541" max="541" width="14.69921875" style="1804" customWidth="1"/>
    <col min="542" max="768" width="9.09765625" style="1804"/>
    <col min="769" max="770" width="9.765625E-2" style="1804" customWidth="1"/>
    <col min="771" max="771" width="52.69921875" style="1804" customWidth="1"/>
    <col min="772" max="782" width="12.69921875" style="1804" customWidth="1"/>
    <col min="783" max="783" width="6.69921875" style="1804" customWidth="1"/>
    <col min="784" max="784" width="14.69921875" style="1804" customWidth="1"/>
    <col min="785" max="795" width="12.69921875" style="1804" customWidth="1"/>
    <col min="796" max="796" width="6.69921875" style="1804" customWidth="1"/>
    <col min="797" max="797" width="14.69921875" style="1804" customWidth="1"/>
    <col min="798" max="1024" width="9.09765625" style="1804"/>
    <col min="1025" max="1026" width="9.765625E-2" style="1804" customWidth="1"/>
    <col min="1027" max="1027" width="52.69921875" style="1804" customWidth="1"/>
    <col min="1028" max="1038" width="12.69921875" style="1804" customWidth="1"/>
    <col min="1039" max="1039" width="6.69921875" style="1804" customWidth="1"/>
    <col min="1040" max="1040" width="14.69921875" style="1804" customWidth="1"/>
    <col min="1041" max="1051" width="12.69921875" style="1804" customWidth="1"/>
    <col min="1052" max="1052" width="6.69921875" style="1804" customWidth="1"/>
    <col min="1053" max="1053" width="14.69921875" style="1804" customWidth="1"/>
    <col min="1054" max="1280" width="9.09765625" style="1804"/>
    <col min="1281" max="1282" width="9.765625E-2" style="1804" customWidth="1"/>
    <col min="1283" max="1283" width="52.69921875" style="1804" customWidth="1"/>
    <col min="1284" max="1294" width="12.69921875" style="1804" customWidth="1"/>
    <col min="1295" max="1295" width="6.69921875" style="1804" customWidth="1"/>
    <col min="1296" max="1296" width="14.69921875" style="1804" customWidth="1"/>
    <col min="1297" max="1307" width="12.69921875" style="1804" customWidth="1"/>
    <col min="1308" max="1308" width="6.69921875" style="1804" customWidth="1"/>
    <col min="1309" max="1309" width="14.69921875" style="1804" customWidth="1"/>
    <col min="1310" max="1536" width="9.09765625" style="1804"/>
    <col min="1537" max="1538" width="9.765625E-2" style="1804" customWidth="1"/>
    <col min="1539" max="1539" width="52.69921875" style="1804" customWidth="1"/>
    <col min="1540" max="1550" width="12.69921875" style="1804" customWidth="1"/>
    <col min="1551" max="1551" width="6.69921875" style="1804" customWidth="1"/>
    <col min="1552" max="1552" width="14.69921875" style="1804" customWidth="1"/>
    <col min="1553" max="1563" width="12.69921875" style="1804" customWidth="1"/>
    <col min="1564" max="1564" width="6.69921875" style="1804" customWidth="1"/>
    <col min="1565" max="1565" width="14.69921875" style="1804" customWidth="1"/>
    <col min="1566" max="1792" width="9.09765625" style="1804"/>
    <col min="1793" max="1794" width="9.765625E-2" style="1804" customWidth="1"/>
    <col min="1795" max="1795" width="52.69921875" style="1804" customWidth="1"/>
    <col min="1796" max="1806" width="12.69921875" style="1804" customWidth="1"/>
    <col min="1807" max="1807" width="6.69921875" style="1804" customWidth="1"/>
    <col min="1808" max="1808" width="14.69921875" style="1804" customWidth="1"/>
    <col min="1809" max="1819" width="12.69921875" style="1804" customWidth="1"/>
    <col min="1820" max="1820" width="6.69921875" style="1804" customWidth="1"/>
    <col min="1821" max="1821" width="14.69921875" style="1804" customWidth="1"/>
    <col min="1822" max="2048" width="9.09765625" style="1804"/>
    <col min="2049" max="2050" width="9.765625E-2" style="1804" customWidth="1"/>
    <col min="2051" max="2051" width="52.69921875" style="1804" customWidth="1"/>
    <col min="2052" max="2062" width="12.69921875" style="1804" customWidth="1"/>
    <col min="2063" max="2063" width="6.69921875" style="1804" customWidth="1"/>
    <col min="2064" max="2064" width="14.69921875" style="1804" customWidth="1"/>
    <col min="2065" max="2075" width="12.69921875" style="1804" customWidth="1"/>
    <col min="2076" max="2076" width="6.69921875" style="1804" customWidth="1"/>
    <col min="2077" max="2077" width="14.69921875" style="1804" customWidth="1"/>
    <col min="2078" max="2304" width="9.09765625" style="1804"/>
    <col min="2305" max="2306" width="9.765625E-2" style="1804" customWidth="1"/>
    <col min="2307" max="2307" width="52.69921875" style="1804" customWidth="1"/>
    <col min="2308" max="2318" width="12.69921875" style="1804" customWidth="1"/>
    <col min="2319" max="2319" width="6.69921875" style="1804" customWidth="1"/>
    <col min="2320" max="2320" width="14.69921875" style="1804" customWidth="1"/>
    <col min="2321" max="2331" width="12.69921875" style="1804" customWidth="1"/>
    <col min="2332" max="2332" width="6.69921875" style="1804" customWidth="1"/>
    <col min="2333" max="2333" width="14.69921875" style="1804" customWidth="1"/>
    <col min="2334" max="2560" width="9.09765625" style="1804"/>
    <col min="2561" max="2562" width="9.765625E-2" style="1804" customWidth="1"/>
    <col min="2563" max="2563" width="52.69921875" style="1804" customWidth="1"/>
    <col min="2564" max="2574" width="12.69921875" style="1804" customWidth="1"/>
    <col min="2575" max="2575" width="6.69921875" style="1804" customWidth="1"/>
    <col min="2576" max="2576" width="14.69921875" style="1804" customWidth="1"/>
    <col min="2577" max="2587" width="12.69921875" style="1804" customWidth="1"/>
    <col min="2588" max="2588" width="6.69921875" style="1804" customWidth="1"/>
    <col min="2589" max="2589" width="14.69921875" style="1804" customWidth="1"/>
    <col min="2590" max="2816" width="9.09765625" style="1804"/>
    <col min="2817" max="2818" width="9.765625E-2" style="1804" customWidth="1"/>
    <col min="2819" max="2819" width="52.69921875" style="1804" customWidth="1"/>
    <col min="2820" max="2830" width="12.69921875" style="1804" customWidth="1"/>
    <col min="2831" max="2831" width="6.69921875" style="1804" customWidth="1"/>
    <col min="2832" max="2832" width="14.69921875" style="1804" customWidth="1"/>
    <col min="2833" max="2843" width="12.69921875" style="1804" customWidth="1"/>
    <col min="2844" max="2844" width="6.69921875" style="1804" customWidth="1"/>
    <col min="2845" max="2845" width="14.69921875" style="1804" customWidth="1"/>
    <col min="2846" max="3072" width="9.09765625" style="1804"/>
    <col min="3073" max="3074" width="9.765625E-2" style="1804" customWidth="1"/>
    <col min="3075" max="3075" width="52.69921875" style="1804" customWidth="1"/>
    <col min="3076" max="3086" width="12.69921875" style="1804" customWidth="1"/>
    <col min="3087" max="3087" width="6.69921875" style="1804" customWidth="1"/>
    <col min="3088" max="3088" width="14.69921875" style="1804" customWidth="1"/>
    <col min="3089" max="3099" width="12.69921875" style="1804" customWidth="1"/>
    <col min="3100" max="3100" width="6.69921875" style="1804" customWidth="1"/>
    <col min="3101" max="3101" width="14.69921875" style="1804" customWidth="1"/>
    <col min="3102" max="3328" width="9.09765625" style="1804"/>
    <col min="3329" max="3330" width="9.765625E-2" style="1804" customWidth="1"/>
    <col min="3331" max="3331" width="52.69921875" style="1804" customWidth="1"/>
    <col min="3332" max="3342" width="12.69921875" style="1804" customWidth="1"/>
    <col min="3343" max="3343" width="6.69921875" style="1804" customWidth="1"/>
    <col min="3344" max="3344" width="14.69921875" style="1804" customWidth="1"/>
    <col min="3345" max="3355" width="12.69921875" style="1804" customWidth="1"/>
    <col min="3356" max="3356" width="6.69921875" style="1804" customWidth="1"/>
    <col min="3357" max="3357" width="14.69921875" style="1804" customWidth="1"/>
    <col min="3358" max="3584" width="9.09765625" style="1804"/>
    <col min="3585" max="3586" width="9.765625E-2" style="1804" customWidth="1"/>
    <col min="3587" max="3587" width="52.69921875" style="1804" customWidth="1"/>
    <col min="3588" max="3598" width="12.69921875" style="1804" customWidth="1"/>
    <col min="3599" max="3599" width="6.69921875" style="1804" customWidth="1"/>
    <col min="3600" max="3600" width="14.69921875" style="1804" customWidth="1"/>
    <col min="3601" max="3611" width="12.69921875" style="1804" customWidth="1"/>
    <col min="3612" max="3612" width="6.69921875" style="1804" customWidth="1"/>
    <col min="3613" max="3613" width="14.69921875" style="1804" customWidth="1"/>
    <col min="3614" max="3840" width="9.09765625" style="1804"/>
    <col min="3841" max="3842" width="9.765625E-2" style="1804" customWidth="1"/>
    <col min="3843" max="3843" width="52.69921875" style="1804" customWidth="1"/>
    <col min="3844" max="3854" width="12.69921875" style="1804" customWidth="1"/>
    <col min="3855" max="3855" width="6.69921875" style="1804" customWidth="1"/>
    <col min="3856" max="3856" width="14.69921875" style="1804" customWidth="1"/>
    <col min="3857" max="3867" width="12.69921875" style="1804" customWidth="1"/>
    <col min="3868" max="3868" width="6.69921875" style="1804" customWidth="1"/>
    <col min="3869" max="3869" width="14.69921875" style="1804" customWidth="1"/>
    <col min="3870" max="4096" width="9.09765625" style="1804"/>
    <col min="4097" max="4098" width="9.765625E-2" style="1804" customWidth="1"/>
    <col min="4099" max="4099" width="52.69921875" style="1804" customWidth="1"/>
    <col min="4100" max="4110" width="12.69921875" style="1804" customWidth="1"/>
    <col min="4111" max="4111" width="6.69921875" style="1804" customWidth="1"/>
    <col min="4112" max="4112" width="14.69921875" style="1804" customWidth="1"/>
    <col min="4113" max="4123" width="12.69921875" style="1804" customWidth="1"/>
    <col min="4124" max="4124" width="6.69921875" style="1804" customWidth="1"/>
    <col min="4125" max="4125" width="14.69921875" style="1804" customWidth="1"/>
    <col min="4126" max="4352" width="9.09765625" style="1804"/>
    <col min="4353" max="4354" width="9.765625E-2" style="1804" customWidth="1"/>
    <col min="4355" max="4355" width="52.69921875" style="1804" customWidth="1"/>
    <col min="4356" max="4366" width="12.69921875" style="1804" customWidth="1"/>
    <col min="4367" max="4367" width="6.69921875" style="1804" customWidth="1"/>
    <col min="4368" max="4368" width="14.69921875" style="1804" customWidth="1"/>
    <col min="4369" max="4379" width="12.69921875" style="1804" customWidth="1"/>
    <col min="4380" max="4380" width="6.69921875" style="1804" customWidth="1"/>
    <col min="4381" max="4381" width="14.69921875" style="1804" customWidth="1"/>
    <col min="4382" max="4608" width="9.09765625" style="1804"/>
    <col min="4609" max="4610" width="9.765625E-2" style="1804" customWidth="1"/>
    <col min="4611" max="4611" width="52.69921875" style="1804" customWidth="1"/>
    <col min="4612" max="4622" width="12.69921875" style="1804" customWidth="1"/>
    <col min="4623" max="4623" width="6.69921875" style="1804" customWidth="1"/>
    <col min="4624" max="4624" width="14.69921875" style="1804" customWidth="1"/>
    <col min="4625" max="4635" width="12.69921875" style="1804" customWidth="1"/>
    <col min="4636" max="4636" width="6.69921875" style="1804" customWidth="1"/>
    <col min="4637" max="4637" width="14.69921875" style="1804" customWidth="1"/>
    <col min="4638" max="4864" width="9.09765625" style="1804"/>
    <col min="4865" max="4866" width="9.765625E-2" style="1804" customWidth="1"/>
    <col min="4867" max="4867" width="52.69921875" style="1804" customWidth="1"/>
    <col min="4868" max="4878" width="12.69921875" style="1804" customWidth="1"/>
    <col min="4879" max="4879" width="6.69921875" style="1804" customWidth="1"/>
    <col min="4880" max="4880" width="14.69921875" style="1804" customWidth="1"/>
    <col min="4881" max="4891" width="12.69921875" style="1804" customWidth="1"/>
    <col min="4892" max="4892" width="6.69921875" style="1804" customWidth="1"/>
    <col min="4893" max="4893" width="14.69921875" style="1804" customWidth="1"/>
    <col min="4894" max="5120" width="9.09765625" style="1804"/>
    <col min="5121" max="5122" width="9.765625E-2" style="1804" customWidth="1"/>
    <col min="5123" max="5123" width="52.69921875" style="1804" customWidth="1"/>
    <col min="5124" max="5134" width="12.69921875" style="1804" customWidth="1"/>
    <col min="5135" max="5135" width="6.69921875" style="1804" customWidth="1"/>
    <col min="5136" max="5136" width="14.69921875" style="1804" customWidth="1"/>
    <col min="5137" max="5147" width="12.69921875" style="1804" customWidth="1"/>
    <col min="5148" max="5148" width="6.69921875" style="1804" customWidth="1"/>
    <col min="5149" max="5149" width="14.69921875" style="1804" customWidth="1"/>
    <col min="5150" max="5376" width="9.09765625" style="1804"/>
    <col min="5377" max="5378" width="9.765625E-2" style="1804" customWidth="1"/>
    <col min="5379" max="5379" width="52.69921875" style="1804" customWidth="1"/>
    <col min="5380" max="5390" width="12.69921875" style="1804" customWidth="1"/>
    <col min="5391" max="5391" width="6.69921875" style="1804" customWidth="1"/>
    <col min="5392" max="5392" width="14.69921875" style="1804" customWidth="1"/>
    <col min="5393" max="5403" width="12.69921875" style="1804" customWidth="1"/>
    <col min="5404" max="5404" width="6.69921875" style="1804" customWidth="1"/>
    <col min="5405" max="5405" width="14.69921875" style="1804" customWidth="1"/>
    <col min="5406" max="5632" width="9.09765625" style="1804"/>
    <col min="5633" max="5634" width="9.765625E-2" style="1804" customWidth="1"/>
    <col min="5635" max="5635" width="52.69921875" style="1804" customWidth="1"/>
    <col min="5636" max="5646" width="12.69921875" style="1804" customWidth="1"/>
    <col min="5647" max="5647" width="6.69921875" style="1804" customWidth="1"/>
    <col min="5648" max="5648" width="14.69921875" style="1804" customWidth="1"/>
    <col min="5649" max="5659" width="12.69921875" style="1804" customWidth="1"/>
    <col min="5660" max="5660" width="6.69921875" style="1804" customWidth="1"/>
    <col min="5661" max="5661" width="14.69921875" style="1804" customWidth="1"/>
    <col min="5662" max="5888" width="9.09765625" style="1804"/>
    <col min="5889" max="5890" width="9.765625E-2" style="1804" customWidth="1"/>
    <col min="5891" max="5891" width="52.69921875" style="1804" customWidth="1"/>
    <col min="5892" max="5902" width="12.69921875" style="1804" customWidth="1"/>
    <col min="5903" max="5903" width="6.69921875" style="1804" customWidth="1"/>
    <col min="5904" max="5904" width="14.69921875" style="1804" customWidth="1"/>
    <col min="5905" max="5915" width="12.69921875" style="1804" customWidth="1"/>
    <col min="5916" max="5916" width="6.69921875" style="1804" customWidth="1"/>
    <col min="5917" max="5917" width="14.69921875" style="1804" customWidth="1"/>
    <col min="5918" max="6144" width="9.09765625" style="1804"/>
    <col min="6145" max="6146" width="9.765625E-2" style="1804" customWidth="1"/>
    <col min="6147" max="6147" width="52.69921875" style="1804" customWidth="1"/>
    <col min="6148" max="6158" width="12.69921875" style="1804" customWidth="1"/>
    <col min="6159" max="6159" width="6.69921875" style="1804" customWidth="1"/>
    <col min="6160" max="6160" width="14.69921875" style="1804" customWidth="1"/>
    <col min="6161" max="6171" width="12.69921875" style="1804" customWidth="1"/>
    <col min="6172" max="6172" width="6.69921875" style="1804" customWidth="1"/>
    <col min="6173" max="6173" width="14.69921875" style="1804" customWidth="1"/>
    <col min="6174" max="6400" width="9.09765625" style="1804"/>
    <col min="6401" max="6402" width="9.765625E-2" style="1804" customWidth="1"/>
    <col min="6403" max="6403" width="52.69921875" style="1804" customWidth="1"/>
    <col min="6404" max="6414" width="12.69921875" style="1804" customWidth="1"/>
    <col min="6415" max="6415" width="6.69921875" style="1804" customWidth="1"/>
    <col min="6416" max="6416" width="14.69921875" style="1804" customWidth="1"/>
    <col min="6417" max="6427" width="12.69921875" style="1804" customWidth="1"/>
    <col min="6428" max="6428" width="6.69921875" style="1804" customWidth="1"/>
    <col min="6429" max="6429" width="14.69921875" style="1804" customWidth="1"/>
    <col min="6430" max="6656" width="9.09765625" style="1804"/>
    <col min="6657" max="6658" width="9.765625E-2" style="1804" customWidth="1"/>
    <col min="6659" max="6659" width="52.69921875" style="1804" customWidth="1"/>
    <col min="6660" max="6670" width="12.69921875" style="1804" customWidth="1"/>
    <col min="6671" max="6671" width="6.69921875" style="1804" customWidth="1"/>
    <col min="6672" max="6672" width="14.69921875" style="1804" customWidth="1"/>
    <col min="6673" max="6683" width="12.69921875" style="1804" customWidth="1"/>
    <col min="6684" max="6684" width="6.69921875" style="1804" customWidth="1"/>
    <col min="6685" max="6685" width="14.69921875" style="1804" customWidth="1"/>
    <col min="6686" max="6912" width="9.09765625" style="1804"/>
    <col min="6913" max="6914" width="9.765625E-2" style="1804" customWidth="1"/>
    <col min="6915" max="6915" width="52.69921875" style="1804" customWidth="1"/>
    <col min="6916" max="6926" width="12.69921875" style="1804" customWidth="1"/>
    <col min="6927" max="6927" width="6.69921875" style="1804" customWidth="1"/>
    <col min="6928" max="6928" width="14.69921875" style="1804" customWidth="1"/>
    <col min="6929" max="6939" width="12.69921875" style="1804" customWidth="1"/>
    <col min="6940" max="6940" width="6.69921875" style="1804" customWidth="1"/>
    <col min="6941" max="6941" width="14.69921875" style="1804" customWidth="1"/>
    <col min="6942" max="7168" width="9.09765625" style="1804"/>
    <col min="7169" max="7170" width="9.765625E-2" style="1804" customWidth="1"/>
    <col min="7171" max="7171" width="52.69921875" style="1804" customWidth="1"/>
    <col min="7172" max="7182" width="12.69921875" style="1804" customWidth="1"/>
    <col min="7183" max="7183" width="6.69921875" style="1804" customWidth="1"/>
    <col min="7184" max="7184" width="14.69921875" style="1804" customWidth="1"/>
    <col min="7185" max="7195" width="12.69921875" style="1804" customWidth="1"/>
    <col min="7196" max="7196" width="6.69921875" style="1804" customWidth="1"/>
    <col min="7197" max="7197" width="14.69921875" style="1804" customWidth="1"/>
    <col min="7198" max="7424" width="9.09765625" style="1804"/>
    <col min="7425" max="7426" width="9.765625E-2" style="1804" customWidth="1"/>
    <col min="7427" max="7427" width="52.69921875" style="1804" customWidth="1"/>
    <col min="7428" max="7438" width="12.69921875" style="1804" customWidth="1"/>
    <col min="7439" max="7439" width="6.69921875" style="1804" customWidth="1"/>
    <col min="7440" max="7440" width="14.69921875" style="1804" customWidth="1"/>
    <col min="7441" max="7451" width="12.69921875" style="1804" customWidth="1"/>
    <col min="7452" max="7452" width="6.69921875" style="1804" customWidth="1"/>
    <col min="7453" max="7453" width="14.69921875" style="1804" customWidth="1"/>
    <col min="7454" max="7680" width="9.09765625" style="1804"/>
    <col min="7681" max="7682" width="9.765625E-2" style="1804" customWidth="1"/>
    <col min="7683" max="7683" width="52.69921875" style="1804" customWidth="1"/>
    <col min="7684" max="7694" width="12.69921875" style="1804" customWidth="1"/>
    <col min="7695" max="7695" width="6.69921875" style="1804" customWidth="1"/>
    <col min="7696" max="7696" width="14.69921875" style="1804" customWidth="1"/>
    <col min="7697" max="7707" width="12.69921875" style="1804" customWidth="1"/>
    <col min="7708" max="7708" width="6.69921875" style="1804" customWidth="1"/>
    <col min="7709" max="7709" width="14.69921875" style="1804" customWidth="1"/>
    <col min="7710" max="7936" width="9.09765625" style="1804"/>
    <col min="7937" max="7938" width="9.765625E-2" style="1804" customWidth="1"/>
    <col min="7939" max="7939" width="52.69921875" style="1804" customWidth="1"/>
    <col min="7940" max="7950" width="12.69921875" style="1804" customWidth="1"/>
    <col min="7951" max="7951" width="6.69921875" style="1804" customWidth="1"/>
    <col min="7952" max="7952" width="14.69921875" style="1804" customWidth="1"/>
    <col min="7953" max="7963" width="12.69921875" style="1804" customWidth="1"/>
    <col min="7964" max="7964" width="6.69921875" style="1804" customWidth="1"/>
    <col min="7965" max="7965" width="14.69921875" style="1804" customWidth="1"/>
    <col min="7966" max="8192" width="9.09765625" style="1804"/>
    <col min="8193" max="8194" width="9.765625E-2" style="1804" customWidth="1"/>
    <col min="8195" max="8195" width="52.69921875" style="1804" customWidth="1"/>
    <col min="8196" max="8206" width="12.69921875" style="1804" customWidth="1"/>
    <col min="8207" max="8207" width="6.69921875" style="1804" customWidth="1"/>
    <col min="8208" max="8208" width="14.69921875" style="1804" customWidth="1"/>
    <col min="8209" max="8219" width="12.69921875" style="1804" customWidth="1"/>
    <col min="8220" max="8220" width="6.69921875" style="1804" customWidth="1"/>
    <col min="8221" max="8221" width="14.69921875" style="1804" customWidth="1"/>
    <col min="8222" max="8448" width="9.09765625" style="1804"/>
    <col min="8449" max="8450" width="9.765625E-2" style="1804" customWidth="1"/>
    <col min="8451" max="8451" width="52.69921875" style="1804" customWidth="1"/>
    <col min="8452" max="8462" width="12.69921875" style="1804" customWidth="1"/>
    <col min="8463" max="8463" width="6.69921875" style="1804" customWidth="1"/>
    <col min="8464" max="8464" width="14.69921875" style="1804" customWidth="1"/>
    <col min="8465" max="8475" width="12.69921875" style="1804" customWidth="1"/>
    <col min="8476" max="8476" width="6.69921875" style="1804" customWidth="1"/>
    <col min="8477" max="8477" width="14.69921875" style="1804" customWidth="1"/>
    <col min="8478" max="8704" width="9.09765625" style="1804"/>
    <col min="8705" max="8706" width="9.765625E-2" style="1804" customWidth="1"/>
    <col min="8707" max="8707" width="52.69921875" style="1804" customWidth="1"/>
    <col min="8708" max="8718" width="12.69921875" style="1804" customWidth="1"/>
    <col min="8719" max="8719" width="6.69921875" style="1804" customWidth="1"/>
    <col min="8720" max="8720" width="14.69921875" style="1804" customWidth="1"/>
    <col min="8721" max="8731" width="12.69921875" style="1804" customWidth="1"/>
    <col min="8732" max="8732" width="6.69921875" style="1804" customWidth="1"/>
    <col min="8733" max="8733" width="14.69921875" style="1804" customWidth="1"/>
    <col min="8734" max="8960" width="9.09765625" style="1804"/>
    <col min="8961" max="8962" width="9.765625E-2" style="1804" customWidth="1"/>
    <col min="8963" max="8963" width="52.69921875" style="1804" customWidth="1"/>
    <col min="8964" max="8974" width="12.69921875" style="1804" customWidth="1"/>
    <col min="8975" max="8975" width="6.69921875" style="1804" customWidth="1"/>
    <col min="8976" max="8976" width="14.69921875" style="1804" customWidth="1"/>
    <col min="8977" max="8987" width="12.69921875" style="1804" customWidth="1"/>
    <col min="8988" max="8988" width="6.69921875" style="1804" customWidth="1"/>
    <col min="8989" max="8989" width="14.69921875" style="1804" customWidth="1"/>
    <col min="8990" max="9216" width="9.09765625" style="1804"/>
    <col min="9217" max="9218" width="9.765625E-2" style="1804" customWidth="1"/>
    <col min="9219" max="9219" width="52.69921875" style="1804" customWidth="1"/>
    <col min="9220" max="9230" width="12.69921875" style="1804" customWidth="1"/>
    <col min="9231" max="9231" width="6.69921875" style="1804" customWidth="1"/>
    <col min="9232" max="9232" width="14.69921875" style="1804" customWidth="1"/>
    <col min="9233" max="9243" width="12.69921875" style="1804" customWidth="1"/>
    <col min="9244" max="9244" width="6.69921875" style="1804" customWidth="1"/>
    <col min="9245" max="9245" width="14.69921875" style="1804" customWidth="1"/>
    <col min="9246" max="9472" width="9.09765625" style="1804"/>
    <col min="9473" max="9474" width="9.765625E-2" style="1804" customWidth="1"/>
    <col min="9475" max="9475" width="52.69921875" style="1804" customWidth="1"/>
    <col min="9476" max="9486" width="12.69921875" style="1804" customWidth="1"/>
    <col min="9487" max="9487" width="6.69921875" style="1804" customWidth="1"/>
    <col min="9488" max="9488" width="14.69921875" style="1804" customWidth="1"/>
    <col min="9489" max="9499" width="12.69921875" style="1804" customWidth="1"/>
    <col min="9500" max="9500" width="6.69921875" style="1804" customWidth="1"/>
    <col min="9501" max="9501" width="14.69921875" style="1804" customWidth="1"/>
    <col min="9502" max="9728" width="9.09765625" style="1804"/>
    <col min="9729" max="9730" width="9.765625E-2" style="1804" customWidth="1"/>
    <col min="9731" max="9731" width="52.69921875" style="1804" customWidth="1"/>
    <col min="9732" max="9742" width="12.69921875" style="1804" customWidth="1"/>
    <col min="9743" max="9743" width="6.69921875" style="1804" customWidth="1"/>
    <col min="9744" max="9744" width="14.69921875" style="1804" customWidth="1"/>
    <col min="9745" max="9755" width="12.69921875" style="1804" customWidth="1"/>
    <col min="9756" max="9756" width="6.69921875" style="1804" customWidth="1"/>
    <col min="9757" max="9757" width="14.69921875" style="1804" customWidth="1"/>
    <col min="9758" max="9984" width="9.09765625" style="1804"/>
    <col min="9985" max="9986" width="9.765625E-2" style="1804" customWidth="1"/>
    <col min="9987" max="9987" width="52.69921875" style="1804" customWidth="1"/>
    <col min="9988" max="9998" width="12.69921875" style="1804" customWidth="1"/>
    <col min="9999" max="9999" width="6.69921875" style="1804" customWidth="1"/>
    <col min="10000" max="10000" width="14.69921875" style="1804" customWidth="1"/>
    <col min="10001" max="10011" width="12.69921875" style="1804" customWidth="1"/>
    <col min="10012" max="10012" width="6.69921875" style="1804" customWidth="1"/>
    <col min="10013" max="10013" width="14.69921875" style="1804" customWidth="1"/>
    <col min="10014" max="10240" width="9.09765625" style="1804"/>
    <col min="10241" max="10242" width="9.765625E-2" style="1804" customWidth="1"/>
    <col min="10243" max="10243" width="52.69921875" style="1804" customWidth="1"/>
    <col min="10244" max="10254" width="12.69921875" style="1804" customWidth="1"/>
    <col min="10255" max="10255" width="6.69921875" style="1804" customWidth="1"/>
    <col min="10256" max="10256" width="14.69921875" style="1804" customWidth="1"/>
    <col min="10257" max="10267" width="12.69921875" style="1804" customWidth="1"/>
    <col min="10268" max="10268" width="6.69921875" style="1804" customWidth="1"/>
    <col min="10269" max="10269" width="14.69921875" style="1804" customWidth="1"/>
    <col min="10270" max="10496" width="9.09765625" style="1804"/>
    <col min="10497" max="10498" width="9.765625E-2" style="1804" customWidth="1"/>
    <col min="10499" max="10499" width="52.69921875" style="1804" customWidth="1"/>
    <col min="10500" max="10510" width="12.69921875" style="1804" customWidth="1"/>
    <col min="10511" max="10511" width="6.69921875" style="1804" customWidth="1"/>
    <col min="10512" max="10512" width="14.69921875" style="1804" customWidth="1"/>
    <col min="10513" max="10523" width="12.69921875" style="1804" customWidth="1"/>
    <col min="10524" max="10524" width="6.69921875" style="1804" customWidth="1"/>
    <col min="10525" max="10525" width="14.69921875" style="1804" customWidth="1"/>
    <col min="10526" max="10752" width="9.09765625" style="1804"/>
    <col min="10753" max="10754" width="9.765625E-2" style="1804" customWidth="1"/>
    <col min="10755" max="10755" width="52.69921875" style="1804" customWidth="1"/>
    <col min="10756" max="10766" width="12.69921875" style="1804" customWidth="1"/>
    <col min="10767" max="10767" width="6.69921875" style="1804" customWidth="1"/>
    <col min="10768" max="10768" width="14.69921875" style="1804" customWidth="1"/>
    <col min="10769" max="10779" width="12.69921875" style="1804" customWidth="1"/>
    <col min="10780" max="10780" width="6.69921875" style="1804" customWidth="1"/>
    <col min="10781" max="10781" width="14.69921875" style="1804" customWidth="1"/>
    <col min="10782" max="11008" width="9.09765625" style="1804"/>
    <col min="11009" max="11010" width="9.765625E-2" style="1804" customWidth="1"/>
    <col min="11011" max="11011" width="52.69921875" style="1804" customWidth="1"/>
    <col min="11012" max="11022" width="12.69921875" style="1804" customWidth="1"/>
    <col min="11023" max="11023" width="6.69921875" style="1804" customWidth="1"/>
    <col min="11024" max="11024" width="14.69921875" style="1804" customWidth="1"/>
    <col min="11025" max="11035" width="12.69921875" style="1804" customWidth="1"/>
    <col min="11036" max="11036" width="6.69921875" style="1804" customWidth="1"/>
    <col min="11037" max="11037" width="14.69921875" style="1804" customWidth="1"/>
    <col min="11038" max="11264" width="9.09765625" style="1804"/>
    <col min="11265" max="11266" width="9.765625E-2" style="1804" customWidth="1"/>
    <col min="11267" max="11267" width="52.69921875" style="1804" customWidth="1"/>
    <col min="11268" max="11278" width="12.69921875" style="1804" customWidth="1"/>
    <col min="11279" max="11279" width="6.69921875" style="1804" customWidth="1"/>
    <col min="11280" max="11280" width="14.69921875" style="1804" customWidth="1"/>
    <col min="11281" max="11291" width="12.69921875" style="1804" customWidth="1"/>
    <col min="11292" max="11292" width="6.69921875" style="1804" customWidth="1"/>
    <col min="11293" max="11293" width="14.69921875" style="1804" customWidth="1"/>
    <col min="11294" max="11520" width="9.09765625" style="1804"/>
    <col min="11521" max="11522" width="9.765625E-2" style="1804" customWidth="1"/>
    <col min="11523" max="11523" width="52.69921875" style="1804" customWidth="1"/>
    <col min="11524" max="11534" width="12.69921875" style="1804" customWidth="1"/>
    <col min="11535" max="11535" width="6.69921875" style="1804" customWidth="1"/>
    <col min="11536" max="11536" width="14.69921875" style="1804" customWidth="1"/>
    <col min="11537" max="11547" width="12.69921875" style="1804" customWidth="1"/>
    <col min="11548" max="11548" width="6.69921875" style="1804" customWidth="1"/>
    <col min="11549" max="11549" width="14.69921875" style="1804" customWidth="1"/>
    <col min="11550" max="11776" width="9.09765625" style="1804"/>
    <col min="11777" max="11778" width="9.765625E-2" style="1804" customWidth="1"/>
    <col min="11779" max="11779" width="52.69921875" style="1804" customWidth="1"/>
    <col min="11780" max="11790" width="12.69921875" style="1804" customWidth="1"/>
    <col min="11791" max="11791" width="6.69921875" style="1804" customWidth="1"/>
    <col min="11792" max="11792" width="14.69921875" style="1804" customWidth="1"/>
    <col min="11793" max="11803" width="12.69921875" style="1804" customWidth="1"/>
    <col min="11804" max="11804" width="6.69921875" style="1804" customWidth="1"/>
    <col min="11805" max="11805" width="14.69921875" style="1804" customWidth="1"/>
    <col min="11806" max="12032" width="9.09765625" style="1804"/>
    <col min="12033" max="12034" width="9.765625E-2" style="1804" customWidth="1"/>
    <col min="12035" max="12035" width="52.69921875" style="1804" customWidth="1"/>
    <col min="12036" max="12046" width="12.69921875" style="1804" customWidth="1"/>
    <col min="12047" max="12047" width="6.69921875" style="1804" customWidth="1"/>
    <col min="12048" max="12048" width="14.69921875" style="1804" customWidth="1"/>
    <col min="12049" max="12059" width="12.69921875" style="1804" customWidth="1"/>
    <col min="12060" max="12060" width="6.69921875" style="1804" customWidth="1"/>
    <col min="12061" max="12061" width="14.69921875" style="1804" customWidth="1"/>
    <col min="12062" max="12288" width="9.09765625" style="1804"/>
    <col min="12289" max="12290" width="9.765625E-2" style="1804" customWidth="1"/>
    <col min="12291" max="12291" width="52.69921875" style="1804" customWidth="1"/>
    <col min="12292" max="12302" width="12.69921875" style="1804" customWidth="1"/>
    <col min="12303" max="12303" width="6.69921875" style="1804" customWidth="1"/>
    <col min="12304" max="12304" width="14.69921875" style="1804" customWidth="1"/>
    <col min="12305" max="12315" width="12.69921875" style="1804" customWidth="1"/>
    <col min="12316" max="12316" width="6.69921875" style="1804" customWidth="1"/>
    <col min="12317" max="12317" width="14.69921875" style="1804" customWidth="1"/>
    <col min="12318" max="12544" width="9.09765625" style="1804"/>
    <col min="12545" max="12546" width="9.765625E-2" style="1804" customWidth="1"/>
    <col min="12547" max="12547" width="52.69921875" style="1804" customWidth="1"/>
    <col min="12548" max="12558" width="12.69921875" style="1804" customWidth="1"/>
    <col min="12559" max="12559" width="6.69921875" style="1804" customWidth="1"/>
    <col min="12560" max="12560" width="14.69921875" style="1804" customWidth="1"/>
    <col min="12561" max="12571" width="12.69921875" style="1804" customWidth="1"/>
    <col min="12572" max="12572" width="6.69921875" style="1804" customWidth="1"/>
    <col min="12573" max="12573" width="14.69921875" style="1804" customWidth="1"/>
    <col min="12574" max="12800" width="9.09765625" style="1804"/>
    <col min="12801" max="12802" width="9.765625E-2" style="1804" customWidth="1"/>
    <col min="12803" max="12803" width="52.69921875" style="1804" customWidth="1"/>
    <col min="12804" max="12814" width="12.69921875" style="1804" customWidth="1"/>
    <col min="12815" max="12815" width="6.69921875" style="1804" customWidth="1"/>
    <col min="12816" max="12816" width="14.69921875" style="1804" customWidth="1"/>
    <col min="12817" max="12827" width="12.69921875" style="1804" customWidth="1"/>
    <col min="12828" max="12828" width="6.69921875" style="1804" customWidth="1"/>
    <col min="12829" max="12829" width="14.69921875" style="1804" customWidth="1"/>
    <col min="12830" max="13056" width="9.09765625" style="1804"/>
    <col min="13057" max="13058" width="9.765625E-2" style="1804" customWidth="1"/>
    <col min="13059" max="13059" width="52.69921875" style="1804" customWidth="1"/>
    <col min="13060" max="13070" width="12.69921875" style="1804" customWidth="1"/>
    <col min="13071" max="13071" width="6.69921875" style="1804" customWidth="1"/>
    <col min="13072" max="13072" width="14.69921875" style="1804" customWidth="1"/>
    <col min="13073" max="13083" width="12.69921875" style="1804" customWidth="1"/>
    <col min="13084" max="13084" width="6.69921875" style="1804" customWidth="1"/>
    <col min="13085" max="13085" width="14.69921875" style="1804" customWidth="1"/>
    <col min="13086" max="13312" width="9.09765625" style="1804"/>
    <col min="13313" max="13314" width="9.765625E-2" style="1804" customWidth="1"/>
    <col min="13315" max="13315" width="52.69921875" style="1804" customWidth="1"/>
    <col min="13316" max="13326" width="12.69921875" style="1804" customWidth="1"/>
    <col min="13327" max="13327" width="6.69921875" style="1804" customWidth="1"/>
    <col min="13328" max="13328" width="14.69921875" style="1804" customWidth="1"/>
    <col min="13329" max="13339" width="12.69921875" style="1804" customWidth="1"/>
    <col min="13340" max="13340" width="6.69921875" style="1804" customWidth="1"/>
    <col min="13341" max="13341" width="14.69921875" style="1804" customWidth="1"/>
    <col min="13342" max="13568" width="9.09765625" style="1804"/>
    <col min="13569" max="13570" width="9.765625E-2" style="1804" customWidth="1"/>
    <col min="13571" max="13571" width="52.69921875" style="1804" customWidth="1"/>
    <col min="13572" max="13582" width="12.69921875" style="1804" customWidth="1"/>
    <col min="13583" max="13583" width="6.69921875" style="1804" customWidth="1"/>
    <col min="13584" max="13584" width="14.69921875" style="1804" customWidth="1"/>
    <col min="13585" max="13595" width="12.69921875" style="1804" customWidth="1"/>
    <col min="13596" max="13596" width="6.69921875" style="1804" customWidth="1"/>
    <col min="13597" max="13597" width="14.69921875" style="1804" customWidth="1"/>
    <col min="13598" max="13824" width="9.09765625" style="1804"/>
    <col min="13825" max="13826" width="9.765625E-2" style="1804" customWidth="1"/>
    <col min="13827" max="13827" width="52.69921875" style="1804" customWidth="1"/>
    <col min="13828" max="13838" width="12.69921875" style="1804" customWidth="1"/>
    <col min="13839" max="13839" width="6.69921875" style="1804" customWidth="1"/>
    <col min="13840" max="13840" width="14.69921875" style="1804" customWidth="1"/>
    <col min="13841" max="13851" width="12.69921875" style="1804" customWidth="1"/>
    <col min="13852" max="13852" width="6.69921875" style="1804" customWidth="1"/>
    <col min="13853" max="13853" width="14.69921875" style="1804" customWidth="1"/>
    <col min="13854" max="14080" width="9.09765625" style="1804"/>
    <col min="14081" max="14082" width="9.765625E-2" style="1804" customWidth="1"/>
    <col min="14083" max="14083" width="52.69921875" style="1804" customWidth="1"/>
    <col min="14084" max="14094" width="12.69921875" style="1804" customWidth="1"/>
    <col min="14095" max="14095" width="6.69921875" style="1804" customWidth="1"/>
    <col min="14096" max="14096" width="14.69921875" style="1804" customWidth="1"/>
    <col min="14097" max="14107" width="12.69921875" style="1804" customWidth="1"/>
    <col min="14108" max="14108" width="6.69921875" style="1804" customWidth="1"/>
    <col min="14109" max="14109" width="14.69921875" style="1804" customWidth="1"/>
    <col min="14110" max="14336" width="9.09765625" style="1804"/>
    <col min="14337" max="14338" width="9.765625E-2" style="1804" customWidth="1"/>
    <col min="14339" max="14339" width="52.69921875" style="1804" customWidth="1"/>
    <col min="14340" max="14350" width="12.69921875" style="1804" customWidth="1"/>
    <col min="14351" max="14351" width="6.69921875" style="1804" customWidth="1"/>
    <col min="14352" max="14352" width="14.69921875" style="1804" customWidth="1"/>
    <col min="14353" max="14363" width="12.69921875" style="1804" customWidth="1"/>
    <col min="14364" max="14364" width="6.69921875" style="1804" customWidth="1"/>
    <col min="14365" max="14365" width="14.69921875" style="1804" customWidth="1"/>
    <col min="14366" max="14592" width="9.09765625" style="1804"/>
    <col min="14593" max="14594" width="9.765625E-2" style="1804" customWidth="1"/>
    <col min="14595" max="14595" width="52.69921875" style="1804" customWidth="1"/>
    <col min="14596" max="14606" width="12.69921875" style="1804" customWidth="1"/>
    <col min="14607" max="14607" width="6.69921875" style="1804" customWidth="1"/>
    <col min="14608" max="14608" width="14.69921875" style="1804" customWidth="1"/>
    <col min="14609" max="14619" width="12.69921875" style="1804" customWidth="1"/>
    <col min="14620" max="14620" width="6.69921875" style="1804" customWidth="1"/>
    <col min="14621" max="14621" width="14.69921875" style="1804" customWidth="1"/>
    <col min="14622" max="14848" width="9.09765625" style="1804"/>
    <col min="14849" max="14850" width="9.765625E-2" style="1804" customWidth="1"/>
    <col min="14851" max="14851" width="52.69921875" style="1804" customWidth="1"/>
    <col min="14852" max="14862" width="12.69921875" style="1804" customWidth="1"/>
    <col min="14863" max="14863" width="6.69921875" style="1804" customWidth="1"/>
    <col min="14864" max="14864" width="14.69921875" style="1804" customWidth="1"/>
    <col min="14865" max="14875" width="12.69921875" style="1804" customWidth="1"/>
    <col min="14876" max="14876" width="6.69921875" style="1804" customWidth="1"/>
    <col min="14877" max="14877" width="14.69921875" style="1804" customWidth="1"/>
    <col min="14878" max="15104" width="9.09765625" style="1804"/>
    <col min="15105" max="15106" width="9.765625E-2" style="1804" customWidth="1"/>
    <col min="15107" max="15107" width="52.69921875" style="1804" customWidth="1"/>
    <col min="15108" max="15118" width="12.69921875" style="1804" customWidth="1"/>
    <col min="15119" max="15119" width="6.69921875" style="1804" customWidth="1"/>
    <col min="15120" max="15120" width="14.69921875" style="1804" customWidth="1"/>
    <col min="15121" max="15131" width="12.69921875" style="1804" customWidth="1"/>
    <col min="15132" max="15132" width="6.69921875" style="1804" customWidth="1"/>
    <col min="15133" max="15133" width="14.69921875" style="1804" customWidth="1"/>
    <col min="15134" max="15360" width="9.09765625" style="1804"/>
    <col min="15361" max="15362" width="9.765625E-2" style="1804" customWidth="1"/>
    <col min="15363" max="15363" width="52.69921875" style="1804" customWidth="1"/>
    <col min="15364" max="15374" width="12.69921875" style="1804" customWidth="1"/>
    <col min="15375" max="15375" width="6.69921875" style="1804" customWidth="1"/>
    <col min="15376" max="15376" width="14.69921875" style="1804" customWidth="1"/>
    <col min="15377" max="15387" width="12.69921875" style="1804" customWidth="1"/>
    <col min="15388" max="15388" width="6.69921875" style="1804" customWidth="1"/>
    <col min="15389" max="15389" width="14.69921875" style="1804" customWidth="1"/>
    <col min="15390" max="15616" width="9.09765625" style="1804"/>
    <col min="15617" max="15618" width="9.765625E-2" style="1804" customWidth="1"/>
    <col min="15619" max="15619" width="52.69921875" style="1804" customWidth="1"/>
    <col min="15620" max="15630" width="12.69921875" style="1804" customWidth="1"/>
    <col min="15631" max="15631" width="6.69921875" style="1804" customWidth="1"/>
    <col min="15632" max="15632" width="14.69921875" style="1804" customWidth="1"/>
    <col min="15633" max="15643" width="12.69921875" style="1804" customWidth="1"/>
    <col min="15644" max="15644" width="6.69921875" style="1804" customWidth="1"/>
    <col min="15645" max="15645" width="14.69921875" style="1804" customWidth="1"/>
    <col min="15646" max="15872" width="9.09765625" style="1804"/>
    <col min="15873" max="15874" width="9.765625E-2" style="1804" customWidth="1"/>
    <col min="15875" max="15875" width="52.69921875" style="1804" customWidth="1"/>
    <col min="15876" max="15886" width="12.69921875" style="1804" customWidth="1"/>
    <col min="15887" max="15887" width="6.69921875" style="1804" customWidth="1"/>
    <col min="15888" max="15888" width="14.69921875" style="1804" customWidth="1"/>
    <col min="15889" max="15899" width="12.69921875" style="1804" customWidth="1"/>
    <col min="15900" max="15900" width="6.69921875" style="1804" customWidth="1"/>
    <col min="15901" max="15901" width="14.69921875" style="1804" customWidth="1"/>
    <col min="15902" max="16128" width="9.09765625" style="1804"/>
    <col min="16129" max="16130" width="9.765625E-2" style="1804" customWidth="1"/>
    <col min="16131" max="16131" width="52.69921875" style="1804" customWidth="1"/>
    <col min="16132" max="16142" width="12.69921875" style="1804" customWidth="1"/>
    <col min="16143" max="16143" width="6.69921875" style="1804" customWidth="1"/>
    <col min="16144" max="16144" width="14.69921875" style="1804" customWidth="1"/>
    <col min="16145" max="16155" width="12.69921875" style="1804" customWidth="1"/>
    <col min="16156" max="16156" width="6.69921875" style="1804" customWidth="1"/>
    <col min="16157" max="16157" width="14.69921875" style="1804" customWidth="1"/>
    <col min="16158" max="16384" width="9.09765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5784</v>
      </c>
      <c r="E2" s="1800" t="s">
        <v>2593</v>
      </c>
      <c r="F2" s="1800" t="s">
        <v>2594</v>
      </c>
      <c r="G2" s="1800" t="s">
        <v>2595</v>
      </c>
      <c r="H2" s="1800" t="s">
        <v>5785</v>
      </c>
      <c r="I2" s="1800" t="s">
        <v>5786</v>
      </c>
      <c r="J2" s="1800" t="s">
        <v>2598</v>
      </c>
      <c r="K2" s="1800" t="s">
        <v>5787</v>
      </c>
      <c r="L2" s="1800" t="s">
        <v>5788</v>
      </c>
      <c r="M2" s="1800" t="s">
        <v>5789</v>
      </c>
      <c r="N2" s="1800" t="s">
        <v>5790</v>
      </c>
      <c r="O2" s="1800" t="s">
        <v>5791</v>
      </c>
      <c r="P2" s="1800" t="s">
        <v>5792</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5">
      <c r="A3" s="1796"/>
      <c r="B3" s="2834" t="s">
        <v>5793</v>
      </c>
      <c r="C3" s="2085"/>
      <c r="D3" s="2085"/>
      <c r="E3" s="2085"/>
      <c r="F3" s="2085"/>
      <c r="G3" s="2085"/>
      <c r="H3" s="2085" t="s">
        <v>974</v>
      </c>
      <c r="I3" s="2085"/>
      <c r="J3" s="2085"/>
      <c r="K3" s="2085"/>
      <c r="L3" s="2085"/>
      <c r="M3" s="2085"/>
      <c r="N3" s="2085"/>
      <c r="O3" s="2085"/>
      <c r="P3" s="2085"/>
      <c r="Q3" s="2086"/>
      <c r="R3" s="2085"/>
      <c r="S3" s="2085"/>
      <c r="T3" s="2086" t="s">
        <v>5853</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编制单位：余江县天骏投资管理有限公司</v>
      </c>
      <c r="D5" s="2091"/>
      <c r="E5" s="2092"/>
      <c r="F5" s="2092"/>
      <c r="G5" s="2092"/>
      <c r="H5" s="2092"/>
      <c r="I5" s="2092"/>
      <c r="J5" s="2092"/>
      <c r="K5" s="2092"/>
      <c r="L5" s="2092"/>
      <c r="M5" s="2093" t="s">
        <v>5794</v>
      </c>
      <c r="N5" s="2092"/>
      <c r="O5" s="2092"/>
      <c r="P5" s="2092"/>
      <c r="Q5" s="2091"/>
      <c r="R5" s="2092"/>
      <c r="S5" s="2092"/>
      <c r="T5" s="2092"/>
      <c r="U5" s="2092"/>
      <c r="V5" s="2092"/>
      <c r="W5" s="2092"/>
      <c r="X5" s="2092"/>
      <c r="Y5" s="2092"/>
      <c r="Z5" s="2093" t="s">
        <v>5794</v>
      </c>
      <c r="AA5" s="2092"/>
      <c r="AB5" s="2092"/>
      <c r="AC5" s="2092"/>
      <c r="AD5" s="849"/>
      <c r="AE5" s="849"/>
      <c r="AF5" s="849"/>
      <c r="AG5" s="849"/>
    </row>
    <row r="6" spans="1:33" ht="18.75" customHeight="1">
      <c r="A6" s="1796"/>
      <c r="B6" s="1796"/>
      <c r="C6" s="2898"/>
      <c r="D6" s="3135" t="str">
        <f>Lead!$F$7</f>
        <v>2019年度</v>
      </c>
      <c r="E6" s="3135"/>
      <c r="F6" s="3135"/>
      <c r="G6" s="3135"/>
      <c r="H6" s="3135"/>
      <c r="I6" s="3135"/>
      <c r="J6" s="3135"/>
      <c r="K6" s="3135"/>
      <c r="L6" s="3135"/>
      <c r="M6" s="3135"/>
      <c r="N6" s="3135"/>
      <c r="O6" s="3135"/>
      <c r="P6" s="3136"/>
      <c r="Q6" s="3137" t="str">
        <f>Lead!$F$8</f>
        <v>2018年度</v>
      </c>
      <c r="R6" s="3135"/>
      <c r="S6" s="3135"/>
      <c r="T6" s="3135"/>
      <c r="U6" s="3135"/>
      <c r="V6" s="3135"/>
      <c r="W6" s="3135"/>
      <c r="X6" s="3135"/>
      <c r="Y6" s="3135"/>
      <c r="Z6" s="3135"/>
      <c r="AA6" s="3135"/>
      <c r="AB6" s="3135"/>
      <c r="AC6" s="3136"/>
      <c r="AD6" s="1803"/>
      <c r="AE6" s="1803"/>
      <c r="AF6" s="1803"/>
      <c r="AG6" s="1803"/>
    </row>
    <row r="7" spans="1:33" ht="18" customHeight="1">
      <c r="A7" s="1796" t="s">
        <v>2556</v>
      </c>
      <c r="B7" s="1796" t="s">
        <v>2558</v>
      </c>
      <c r="C7" s="2899" t="s">
        <v>5134</v>
      </c>
      <c r="D7" s="3138" t="s">
        <v>5852</v>
      </c>
      <c r="E7" s="3139" t="s">
        <v>5796</v>
      </c>
      <c r="F7" s="3139"/>
      <c r="G7" s="3139"/>
      <c r="H7" s="3133" t="s">
        <v>592</v>
      </c>
      <c r="I7" s="3133" t="s">
        <v>682</v>
      </c>
      <c r="J7" s="3133" t="s">
        <v>5797</v>
      </c>
      <c r="K7" s="3133" t="s">
        <v>627</v>
      </c>
      <c r="L7" s="3133" t="s">
        <v>602</v>
      </c>
      <c r="M7" s="3133" t="s">
        <v>2613</v>
      </c>
      <c r="N7" s="3133" t="s">
        <v>611</v>
      </c>
      <c r="O7" s="3133" t="s">
        <v>932</v>
      </c>
      <c r="P7" s="3134" t="s">
        <v>5877</v>
      </c>
      <c r="Q7" s="3140" t="s">
        <v>5852</v>
      </c>
      <c r="R7" s="3139" t="s">
        <v>5796</v>
      </c>
      <c r="S7" s="3139"/>
      <c r="T7" s="3139"/>
      <c r="U7" s="3133" t="s">
        <v>592</v>
      </c>
      <c r="V7" s="3133" t="s">
        <v>682</v>
      </c>
      <c r="W7" s="3133" t="s">
        <v>5797</v>
      </c>
      <c r="X7" s="3133" t="s">
        <v>627</v>
      </c>
      <c r="Y7" s="3133" t="s">
        <v>602</v>
      </c>
      <c r="Z7" s="3133" t="s">
        <v>2613</v>
      </c>
      <c r="AA7" s="3133" t="s">
        <v>611</v>
      </c>
      <c r="AB7" s="3133" t="s">
        <v>932</v>
      </c>
      <c r="AC7" s="3134" t="s">
        <v>2614</v>
      </c>
      <c r="AD7" s="1806"/>
      <c r="AE7" s="1803"/>
      <c r="AF7" s="1803"/>
      <c r="AG7" s="1803"/>
    </row>
    <row r="8" spans="1:33" ht="18" customHeight="1">
      <c r="A8" s="1796"/>
      <c r="B8" s="1796"/>
      <c r="C8" s="2176" t="s">
        <v>5762</v>
      </c>
      <c r="D8" s="3138"/>
      <c r="E8" s="2177" t="s">
        <v>2662</v>
      </c>
      <c r="F8" s="2177" t="s">
        <v>2663</v>
      </c>
      <c r="G8" s="2177" t="s">
        <v>932</v>
      </c>
      <c r="H8" s="3133"/>
      <c r="I8" s="3133"/>
      <c r="J8" s="3133"/>
      <c r="K8" s="3133"/>
      <c r="L8" s="3133"/>
      <c r="M8" s="3133"/>
      <c r="N8" s="3133"/>
      <c r="O8" s="3133"/>
      <c r="P8" s="3134"/>
      <c r="Q8" s="3140"/>
      <c r="R8" s="2177" t="s">
        <v>2662</v>
      </c>
      <c r="S8" s="2177" t="s">
        <v>2663</v>
      </c>
      <c r="T8" s="2177" t="s">
        <v>932</v>
      </c>
      <c r="U8" s="3133"/>
      <c r="V8" s="3133"/>
      <c r="W8" s="3133"/>
      <c r="X8" s="3133"/>
      <c r="Y8" s="3133"/>
      <c r="Z8" s="3133"/>
      <c r="AA8" s="3133"/>
      <c r="AB8" s="3133"/>
      <c r="AC8" s="3134"/>
      <c r="AD8" s="1806"/>
      <c r="AE8" s="1803"/>
      <c r="AF8" s="1803"/>
      <c r="AG8" s="1803"/>
    </row>
    <row r="9" spans="1:33" ht="20.149999999999999"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-1714.32</v>
      </c>
      <c r="O9" s="2171">
        <f t="shared" si="3"/>
        <v>0</v>
      </c>
      <c r="P9" s="2182">
        <f t="shared" ref="P9:P36" si="4">SUM(D9:H9,-I9,J9:O9)</f>
        <v>-1714.32</v>
      </c>
      <c r="Q9" s="2180">
        <f>IF(ISERROR(VLOOKUP(VALUE(Q$2&amp;$B9),Sheet_Trialbal,10,0)),0,VLOOKUP(VALUE(Q$2&amp;$B9),Sheet_Trialbal,10,0))</f>
        <v>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0</v>
      </c>
      <c r="Z9" s="2172">
        <f t="shared" si="7"/>
        <v>0</v>
      </c>
      <c r="AA9" s="2172">
        <f t="shared" si="7"/>
        <v>0</v>
      </c>
      <c r="AB9" s="2172">
        <f t="shared" si="7"/>
        <v>0</v>
      </c>
      <c r="AC9" s="2173">
        <f t="shared" ref="AC9:AC36" ca="1" si="8">SUM(Q9:U9,-V9,W9:AB9)</f>
        <v>0</v>
      </c>
      <c r="AD9" s="1803"/>
      <c r="AE9" s="1803"/>
      <c r="AF9" s="1803"/>
      <c r="AG9" s="1803"/>
    </row>
    <row r="10" spans="1:33" ht="20.149999999999999"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49999999999999"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49999999999999"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49999999999999"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-1714.32</v>
      </c>
      <c r="O13" s="2171">
        <f t="shared" si="9"/>
        <v>0</v>
      </c>
      <c r="P13" s="2182">
        <f t="shared" si="4"/>
        <v>-1714.32</v>
      </c>
      <c r="Q13" s="2180">
        <f t="shared" ref="Q13:AB13" si="10">SUM(Q9:Q12)</f>
        <v>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0</v>
      </c>
      <c r="Z13" s="2172">
        <f t="shared" si="10"/>
        <v>0</v>
      </c>
      <c r="AA13" s="2172">
        <f t="shared" si="10"/>
        <v>0</v>
      </c>
      <c r="AB13" s="2172">
        <f t="shared" si="10"/>
        <v>0</v>
      </c>
      <c r="AC13" s="2173">
        <f t="shared" ca="1" si="8"/>
        <v>0</v>
      </c>
      <c r="AD13" s="1803"/>
      <c r="AE13" s="1803"/>
      <c r="AF13" s="1803"/>
      <c r="AG13" s="1803"/>
    </row>
    <row r="14" spans="1:33" ht="20.149999999999999"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-2324.91</v>
      </c>
      <c r="O14" s="2171">
        <f t="shared" si="11"/>
        <v>0</v>
      </c>
      <c r="P14" s="2182">
        <f t="shared" si="4"/>
        <v>-2324.91</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0</v>
      </c>
      <c r="Z14" s="2172">
        <f t="shared" si="12"/>
        <v>0</v>
      </c>
      <c r="AA14" s="2172">
        <f t="shared" si="12"/>
        <v>-1714.32</v>
      </c>
      <c r="AB14" s="2172">
        <f t="shared" si="12"/>
        <v>0</v>
      </c>
      <c r="AC14" s="2173">
        <f t="shared" ca="1" si="8"/>
        <v>-1714.32</v>
      </c>
      <c r="AD14" s="1803"/>
      <c r="AE14" s="1803"/>
      <c r="AF14" s="1803"/>
      <c r="AG14" s="1803"/>
    </row>
    <row r="15" spans="1:33" ht="20.149999999999999"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-2324.91</v>
      </c>
      <c r="O15" s="2171">
        <f>IF(ISERROR(VLOOKUP(VALUE(O$2&amp;$B15),Sheet_Trialbal,6,0)),0,VLOOKUP(VALUE(O$2&amp;$B15),Sheet_Trialbal,6,0))</f>
        <v>0</v>
      </c>
      <c r="P15" s="2182">
        <f t="shared" si="4"/>
        <v>-2324.91</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-1714.32</v>
      </c>
      <c r="AB15" s="2172">
        <f>IF(ISERROR(VLOOKUP(VALUE(AB$2&amp;$B15),Sheet_Trialbal,10,0)),0,VLOOKUP(VALUE(AB$2&amp;$B15),Sheet_Trialbal,10,0))</f>
        <v>0</v>
      </c>
      <c r="AC15" s="2173">
        <f t="shared" ca="1" si="8"/>
        <v>-1714.32</v>
      </c>
      <c r="AD15" s="1803"/>
      <c r="AE15" s="1803"/>
      <c r="AF15" s="1803"/>
      <c r="AG15" s="1803"/>
    </row>
    <row r="16" spans="1:33" ht="20.149999999999999"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49999999999999"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49999999999999"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49999999999999"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49999999999999"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49999999999999"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0</v>
      </c>
      <c r="Z21" s="2172">
        <f t="shared" si="22"/>
        <v>0</v>
      </c>
      <c r="AA21" s="2172">
        <f t="shared" si="22"/>
        <v>0</v>
      </c>
      <c r="AB21" s="2172">
        <f t="shared" si="22"/>
        <v>0</v>
      </c>
      <c r="AC21" s="2173">
        <f t="shared" ca="1" si="8"/>
        <v>0</v>
      </c>
      <c r="AD21" s="1803"/>
      <c r="AE21" s="1803"/>
      <c r="AF21" s="1803"/>
      <c r="AG21" s="1803"/>
    </row>
    <row r="22" spans="1:33" ht="20.149999999999999"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0</v>
      </c>
      <c r="Z22" s="2172">
        <f t="shared" si="28"/>
        <v>0</v>
      </c>
      <c r="AA22" s="2172">
        <f t="shared" si="28"/>
        <v>0</v>
      </c>
      <c r="AB22" s="2172">
        <f t="shared" si="28"/>
        <v>0</v>
      </c>
      <c r="AC22" s="2173">
        <f t="shared" ca="1" si="8"/>
        <v>0</v>
      </c>
      <c r="AD22" s="1803"/>
      <c r="AE22" s="1803"/>
      <c r="AF22" s="1803"/>
      <c r="AG22" s="1803"/>
    </row>
    <row r="23" spans="1:33" ht="20.149999999999999"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49999999999999"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49999999999999"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49999999999999"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49999999999999"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49999999999999"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49999999999999"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49999999999999"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49999999999999" customHeight="1">
      <c r="A31" s="2836"/>
      <c r="B31" s="2837" t="s">
        <v>5847</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49999999999999"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49999999999999" customHeight="1">
      <c r="A33" s="2836" t="s">
        <v>287</v>
      </c>
      <c r="B33" s="2837" t="s">
        <v>5792</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49999999999999"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49999999999999"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49999999999999" customHeight="1">
      <c r="A36" s="2836"/>
      <c r="B36" s="2838" t="s">
        <v>5799</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49999999999999"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-4039.23</v>
      </c>
      <c r="O37" s="2183">
        <f t="shared" si="49"/>
        <v>0</v>
      </c>
      <c r="P37" s="2184">
        <f t="shared" si="49"/>
        <v>-4039.23</v>
      </c>
      <c r="Q37" s="2181">
        <f t="shared" si="49"/>
        <v>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0</v>
      </c>
      <c r="Z37" s="2174">
        <f t="shared" si="49"/>
        <v>0</v>
      </c>
      <c r="AA37" s="2174">
        <f t="shared" si="49"/>
        <v>-1714.32</v>
      </c>
      <c r="AB37" s="2174">
        <f t="shared" si="49"/>
        <v>0</v>
      </c>
      <c r="AC37" s="2175">
        <f t="shared" ca="1" si="49"/>
        <v>-1714.32</v>
      </c>
      <c r="AD37" s="1803"/>
      <c r="AE37" s="1803"/>
      <c r="AF37" s="1803"/>
      <c r="AG37" s="1803"/>
    </row>
    <row r="38" spans="1:33" ht="17">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7">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6">
      <c r="A42" s="2835" t="s">
        <v>2565</v>
      </c>
      <c r="B42" s="2836"/>
      <c r="C42" s="1807" t="s">
        <v>5800</v>
      </c>
      <c r="D42" s="1808"/>
      <c r="E42" s="1808"/>
      <c r="F42" s="1808"/>
      <c r="G42" s="1808"/>
      <c r="H42" s="1809"/>
      <c r="I42" s="1809"/>
      <c r="J42" s="1809"/>
      <c r="K42" s="1809"/>
      <c r="L42" s="1809"/>
      <c r="M42" s="1809"/>
      <c r="N42" s="1809"/>
      <c r="O42" s="1810" t="s">
        <v>47</v>
      </c>
      <c r="P42" s="1809"/>
      <c r="Q42" s="1811" t="s">
        <v>5801</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7">
      <c r="A43" s="2836" t="s">
        <v>2565</v>
      </c>
      <c r="B43" s="2837"/>
      <c r="C43" s="1814" t="s">
        <v>5802</v>
      </c>
      <c r="D43" s="1815"/>
      <c r="E43" s="1815"/>
      <c r="F43" s="1815"/>
      <c r="G43" s="1815"/>
      <c r="H43" s="1815"/>
      <c r="I43" s="1815"/>
      <c r="J43" s="1815"/>
      <c r="K43" s="1815"/>
      <c r="L43" s="1815"/>
      <c r="M43" s="1816" t="s">
        <v>5803</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7">
      <c r="A44" s="2836" t="s">
        <v>2565</v>
      </c>
      <c r="B44" s="2837"/>
      <c r="C44" s="1818">
        <f ca="1">SUM(Q46:AB46,D53:O53,Q53:AB53)</f>
        <v>0</v>
      </c>
      <c r="D44" s="1815"/>
      <c r="E44" s="1815"/>
      <c r="F44" s="1815"/>
      <c r="G44" s="1815"/>
      <c r="H44" s="1815"/>
      <c r="I44" s="1815"/>
      <c r="J44" s="1815"/>
      <c r="K44" s="1815"/>
      <c r="L44" s="1692" t="str">
        <f>$C$13&amp;":"&amp;$D$6</f>
        <v>二、本年年初余额:2019年度</v>
      </c>
      <c r="M44" s="1817"/>
      <c r="N44" s="1817"/>
      <c r="O44" s="1817"/>
      <c r="P44" s="1724" t="s">
        <v>5804</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-1714.32</v>
      </c>
      <c r="AB44" s="1694">
        <f t="shared" si="50"/>
        <v>0</v>
      </c>
      <c r="AC44" s="1695">
        <f t="shared" si="50"/>
        <v>-1714.32</v>
      </c>
      <c r="AD44" s="1803"/>
      <c r="AE44" s="1803"/>
      <c r="AF44" s="1803"/>
      <c r="AG44" s="1803"/>
    </row>
    <row r="45" spans="1:33" ht="17">
      <c r="A45" s="2836" t="s">
        <v>2565</v>
      </c>
      <c r="B45" s="2837"/>
      <c r="C45" s="1819" t="str">
        <f ca="1">IF(C44=0,"Balanced","Diff "&amp;TEXT(ROUND(C44,2),"#,###.00"))</f>
        <v>Balanced</v>
      </c>
      <c r="D45" s="1815"/>
      <c r="E45" s="1815"/>
      <c r="F45" s="1815"/>
      <c r="G45" s="1815"/>
      <c r="H45" s="1815"/>
      <c r="I45" s="1815"/>
      <c r="J45" s="1815"/>
      <c r="K45" s="1815"/>
      <c r="L45" s="1692" t="str">
        <f>$Q$6&amp;":"&amp;$C$37</f>
        <v>2018年度:四、本年年末余额</v>
      </c>
      <c r="M45" s="1817"/>
      <c r="N45" s="1817"/>
      <c r="O45" s="1817"/>
      <c r="P45" s="1724" t="s">
        <v>5804</v>
      </c>
      <c r="Q45" s="1820">
        <f t="shared" ref="Q45:AC45" si="51">Q37</f>
        <v>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0</v>
      </c>
      <c r="Z45" s="1821">
        <f t="shared" si="51"/>
        <v>0</v>
      </c>
      <c r="AA45" s="1821">
        <f t="shared" si="51"/>
        <v>-1714.32</v>
      </c>
      <c r="AB45" s="1821">
        <f t="shared" si="51"/>
        <v>0</v>
      </c>
      <c r="AC45" s="1728">
        <f t="shared" ca="1" si="51"/>
        <v>-1714.32</v>
      </c>
      <c r="AD45" s="1803"/>
      <c r="AE45" s="1803"/>
      <c r="AF45" s="1803"/>
      <c r="AG45" s="1803"/>
    </row>
    <row r="46" spans="1:33" ht="17.5" thickBot="1">
      <c r="A46" s="2836" t="s">
        <v>2565</v>
      </c>
      <c r="B46" s="2837"/>
      <c r="C46" s="1822" t="s">
        <v>5798</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0</v>
      </c>
      <c r="AB46" s="1824">
        <f t="shared" si="52"/>
        <v>0</v>
      </c>
      <c r="AC46" s="1731">
        <f t="shared" ca="1" si="52"/>
        <v>0</v>
      </c>
      <c r="AD46" s="1803"/>
      <c r="AE46" s="1803"/>
      <c r="AF46" s="1803"/>
      <c r="AG46" s="1803"/>
    </row>
    <row r="47" spans="1:33" ht="17.5" thickTop="1">
      <c r="A47" s="2836" t="s">
        <v>2565</v>
      </c>
      <c r="B47" s="2837"/>
      <c r="C47" s="1822" t="s">
        <v>5798</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7">
      <c r="A48" s="2836" t="s">
        <v>2565</v>
      </c>
      <c r="B48" s="2837"/>
      <c r="C48" s="1826" t="s">
        <v>5800</v>
      </c>
      <c r="D48" s="1827" t="s">
        <v>5795</v>
      </c>
      <c r="E48" s="1828"/>
      <c r="F48" s="1828"/>
      <c r="G48" s="1828"/>
      <c r="H48" s="1829"/>
      <c r="I48" s="1829"/>
      <c r="J48" s="1829"/>
      <c r="K48" s="1829"/>
      <c r="L48" s="1829"/>
      <c r="M48" s="1829"/>
      <c r="N48" s="1829"/>
      <c r="O48" s="1829"/>
      <c r="P48" s="1830"/>
      <c r="Q48" s="1831" t="s">
        <v>5805</v>
      </c>
      <c r="R48" s="1831"/>
      <c r="S48" s="1831"/>
      <c r="T48" s="1831"/>
      <c r="U48" s="1829"/>
      <c r="V48" s="1829"/>
      <c r="W48" s="1829"/>
      <c r="X48" s="1829"/>
      <c r="Y48" s="1829"/>
      <c r="Z48" s="1829"/>
      <c r="AA48" s="1829"/>
      <c r="AB48" s="1829"/>
      <c r="AC48" s="1832"/>
      <c r="AD48" s="1803"/>
      <c r="AE48" s="1803"/>
      <c r="AF48" s="1803"/>
      <c r="AG48" s="1803"/>
    </row>
    <row r="49" spans="1:33" ht="26">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7">
      <c r="A50" s="2836" t="s">
        <v>2565</v>
      </c>
      <c r="B50" s="2837"/>
      <c r="C50" s="1838" t="s">
        <v>5806</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7">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-4039.23</v>
      </c>
      <c r="O51" s="1694">
        <f t="shared" si="54"/>
        <v>0</v>
      </c>
      <c r="P51" s="1841">
        <f t="shared" si="54"/>
        <v>-4039.23</v>
      </c>
      <c r="Q51" s="1820">
        <f t="shared" si="54"/>
        <v>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0</v>
      </c>
      <c r="Z51" s="1821">
        <f t="shared" si="54"/>
        <v>0</v>
      </c>
      <c r="AA51" s="1821">
        <f t="shared" si="54"/>
        <v>-1714.32</v>
      </c>
      <c r="AB51" s="1821">
        <f t="shared" si="54"/>
        <v>0</v>
      </c>
      <c r="AC51" s="1728">
        <f t="shared" ca="1" si="54"/>
        <v>-1714.32</v>
      </c>
      <c r="AD51" s="1803"/>
      <c r="AE51" s="1803"/>
      <c r="AF51" s="1803"/>
      <c r="AG51" s="1803"/>
    </row>
    <row r="52" spans="1:33" ht="17">
      <c r="A52" s="2836" t="s">
        <v>2565</v>
      </c>
      <c r="B52" s="2837"/>
      <c r="C52" s="1842" t="s">
        <v>5807</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-4039.23</v>
      </c>
      <c r="O52" s="1694"/>
      <c r="P52" s="1841">
        <f>BalanceSheet!K58</f>
        <v>-4039.23</v>
      </c>
      <c r="Q52" s="1820">
        <f>BalanceSheet!L47</f>
        <v>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0</v>
      </c>
      <c r="Z52" s="1821">
        <f>BalanceSheet!L56</f>
        <v>0</v>
      </c>
      <c r="AA52" s="1821">
        <f>BalanceSheet!L57</f>
        <v>-1714.32</v>
      </c>
      <c r="AB52" s="1821"/>
      <c r="AC52" s="1728">
        <f>BalanceSheet!L58</f>
        <v>-1714.32</v>
      </c>
      <c r="AD52" s="1803"/>
      <c r="AE52" s="1803"/>
      <c r="AF52" s="1803"/>
      <c r="AG52" s="1803"/>
    </row>
    <row r="53" spans="1:33" ht="1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8" thickTop="1" thickBot="1">
      <c r="A54" s="2836" t="s">
        <v>2565</v>
      </c>
      <c r="B54" s="2837"/>
      <c r="C54" s="1845" t="s">
        <v>5798</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3" priority="9" stopIfTrue="1" operator="notEqual">
      <formula>0</formula>
    </cfRule>
  </conditionalFormatting>
  <conditionalFormatting sqref="C48:C49 C42">
    <cfRule type="expression" dxfId="384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tabSelected="1" workbookViewId="0">
      <pane xSplit="6" ySplit="8" topLeftCell="G9" activePane="bottomRight" state="frozen"/>
      <selection pane="topRight" activeCell="G1" sqref="G1"/>
      <selection pane="bottomLeft" activeCell="A9" sqref="A9"/>
      <selection pane="bottomRight" activeCell="I325" sqref="I325"/>
    </sheetView>
  </sheetViews>
  <sheetFormatPr defaultColWidth="9.09765625" defaultRowHeight="13"/>
  <cols>
    <col min="1" max="1" width="4.296875" style="1" customWidth="1"/>
    <col min="2" max="3" width="9" style="1" hidden="1" customWidth="1"/>
    <col min="4" max="4" width="6.296875" style="1" customWidth="1"/>
    <col min="5" max="6" width="20.69921875" style="1" customWidth="1"/>
    <col min="7" max="9" width="12.69921875" style="1" customWidth="1"/>
    <col min="10" max="10" width="4.69921875" style="1" customWidth="1"/>
    <col min="11" max="13" width="12.69921875" style="1" customWidth="1"/>
    <col min="14" max="14" width="4.69921875" style="1" customWidth="1"/>
    <col min="15" max="15" width="7.69921875" style="1" customWidth="1"/>
    <col min="16" max="18" width="20.69921875" style="1" customWidth="1"/>
    <col min="19" max="20" width="10.69921875" style="1" customWidth="1"/>
    <col min="21" max="25" width="10.69921875" style="1" hidden="1" customWidth="1"/>
    <col min="26" max="16384" width="9.09765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余江县天骏投资管理有限公司</v>
      </c>
      <c r="F2" s="1247"/>
      <c r="G2" s="1248"/>
      <c r="H2" s="1295"/>
      <c r="I2" s="1317" t="s">
        <v>2521</v>
      </c>
      <c r="J2" s="745"/>
      <c r="K2" s="1318" t="s">
        <v>2501</v>
      </c>
      <c r="L2" s="745"/>
      <c r="M2" s="1319"/>
      <c r="N2" s="1320"/>
      <c r="O2" s="641"/>
      <c r="P2" s="2788" t="s">
        <v>6602</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43864</v>
      </c>
      <c r="L3" s="1321" t="s">
        <v>2524</v>
      </c>
      <c r="M3" s="2790" t="s">
        <v>6607</v>
      </c>
      <c r="N3" s="745"/>
      <c r="O3" s="641"/>
      <c r="P3" s="2788" t="s">
        <v>6603</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6604</v>
      </c>
      <c r="Q4" s="641"/>
      <c r="R4" s="641"/>
    </row>
    <row r="5" spans="1:25" ht="12" customHeight="1" thickBot="1">
      <c r="A5" s="745"/>
      <c r="B5" s="643"/>
      <c r="C5" s="643"/>
      <c r="D5" s="1300"/>
      <c r="E5" s="1301"/>
      <c r="F5" s="1301"/>
      <c r="G5" s="1300"/>
      <c r="H5" s="1302"/>
      <c r="I5" s="1322"/>
      <c r="J5" s="1323"/>
      <c r="K5" s="1324"/>
      <c r="L5" s="1323"/>
      <c r="M5" s="1322"/>
      <c r="N5" s="1301"/>
      <c r="O5" s="641"/>
      <c r="P5" s="2788" t="s">
        <v>6605</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7">
      <c r="A8" s="1304"/>
      <c r="B8" s="643" t="s">
        <v>2526</v>
      </c>
      <c r="C8" s="643" t="s">
        <v>2527</v>
      </c>
      <c r="D8" s="1305" t="s">
        <v>6815</v>
      </c>
      <c r="E8" s="1306" t="s">
        <v>2529</v>
      </c>
      <c r="F8" s="1307" t="s">
        <v>2530</v>
      </c>
      <c r="G8" s="1308" t="s">
        <v>2531</v>
      </c>
      <c r="H8" s="1309" t="s">
        <v>2532</v>
      </c>
      <c r="I8" s="1305" t="s">
        <v>2533</v>
      </c>
      <c r="J8" s="1326" t="s">
        <v>2534</v>
      </c>
      <c r="K8" s="1327" t="s">
        <v>2535</v>
      </c>
      <c r="L8" s="1306" t="s">
        <v>2536</v>
      </c>
      <c r="M8" s="1305" t="s">
        <v>2537</v>
      </c>
      <c r="N8" s="1328" t="s">
        <v>2534</v>
      </c>
      <c r="O8" s="3096" t="s">
        <v>6804</v>
      </c>
      <c r="P8" s="3097" t="s">
        <v>6805</v>
      </c>
      <c r="Q8" s="3097" t="s">
        <v>6806</v>
      </c>
      <c r="R8" s="3097" t="s">
        <v>6807</v>
      </c>
      <c r="S8" s="3098" t="s">
        <v>6808</v>
      </c>
      <c r="T8" s="3098" t="s">
        <v>6809</v>
      </c>
      <c r="U8" s="3098" t="s">
        <v>6810</v>
      </c>
      <c r="V8" s="3098" t="s">
        <v>6811</v>
      </c>
      <c r="W8" s="3098" t="s">
        <v>6812</v>
      </c>
      <c r="X8" s="3098" t="s">
        <v>6813</v>
      </c>
      <c r="Y8" s="3099" t="s">
        <v>6814</v>
      </c>
    </row>
    <row r="9" spans="1:25" ht="17">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15480.77</v>
      </c>
      <c r="H9" s="1312">
        <f t="shared" ref="H9:H16" ca="1" si="2">INDIRECT("Notes!CheckA"&amp;$C9)</f>
        <v>15480.77</v>
      </c>
      <c r="I9" s="3093">
        <f ca="1">IF(AND(LEN(G9)&gt;0,LEN(H9)&gt;0),ROUND(SUM(G9)-SUM(H9),2),"")</f>
        <v>0</v>
      </c>
      <c r="J9" s="1293" t="str">
        <f ca="1">IF(ISNA(I9),"N/A",IF(I9=0,"√","？"))</f>
        <v>√</v>
      </c>
      <c r="K9" s="1311">
        <f t="shared" ref="K9:K40" si="3">IF(ISERROR(VLOOKUP($B9,Sheet_Trialbal,10,0)),"        ----",VLOOKUP($B9,Sheet_Trialbal,10,0))</f>
        <v>17805.68</v>
      </c>
      <c r="L9" s="70">
        <f ca="1">INDIRECT("Notes!CheckB"&amp;$C9)</f>
        <v>17805.68</v>
      </c>
      <c r="M9" s="3093">
        <f ca="1">IF(AND(LEN(K9)&gt;0,LEN(L9)&gt;0),ROUND(SUM(K9)-SUM(L9),2),"")</f>
        <v>0</v>
      </c>
      <c r="N9" s="1293" t="str">
        <f ca="1">IF(ISNA(M9),"N/A",IF(M9=0,"√","？"))</f>
        <v>√</v>
      </c>
      <c r="O9" s="3100"/>
      <c r="P9" s="3101"/>
      <c r="Q9" s="3101"/>
      <c r="R9" s="3101"/>
      <c r="S9" s="3102" t="s">
        <v>295</v>
      </c>
      <c r="T9" s="3102" t="s">
        <v>213</v>
      </c>
      <c r="U9" s="3103">
        <v>1015</v>
      </c>
      <c r="V9" s="3103" t="s">
        <v>295</v>
      </c>
      <c r="W9" s="3103" t="s">
        <v>6797</v>
      </c>
      <c r="X9" s="3103" t="s">
        <v>6798</v>
      </c>
      <c r="Y9" s="3104" t="s">
        <v>164</v>
      </c>
    </row>
    <row r="10" spans="1:25" ht="17">
      <c r="A10" s="1304"/>
      <c r="B10" s="643">
        <v>1015</v>
      </c>
      <c r="C10" s="643" t="s">
        <v>45</v>
      </c>
      <c r="D10" s="3088">
        <v>1</v>
      </c>
      <c r="E10" s="3089" t="str">
        <f t="shared" si="0"/>
        <v>货币资金</v>
      </c>
      <c r="F10" s="3090" t="s">
        <v>46</v>
      </c>
      <c r="G10" s="3091">
        <f t="shared" si="1"/>
        <v>15480.77</v>
      </c>
      <c r="H10" s="3092">
        <f t="shared" ca="1" si="2"/>
        <v>15480.77</v>
      </c>
      <c r="I10" s="3094">
        <f ca="1">IF(AND(LEN(G10)&gt;0,LEN(H10)&gt;0),ROUND(SUM(G10)-SUM(H10),2),"")</f>
        <v>0</v>
      </c>
      <c r="J10" s="3073" t="str">
        <f ca="1">IF(ISNA(I10),"N/A",IF(I10=0,"√","？"))</f>
        <v>√</v>
      </c>
      <c r="K10" s="3091">
        <f t="shared" si="3"/>
        <v>17805.68</v>
      </c>
      <c r="L10" s="3072">
        <f ca="1">INDIRECT("Notes!CheckB"&amp;$C10)</f>
        <v>17805.68</v>
      </c>
      <c r="M10" s="3094">
        <f ca="1">IF(AND(LEN(K10)&gt;0,LEN(L10)&gt;0),ROUND(SUM(K10)-SUM(L10),2),"")</f>
        <v>0</v>
      </c>
      <c r="N10" s="3073" t="str">
        <f ca="1">IF(ISNA(M10),"N/A",IF(M10=0,"√","？"))</f>
        <v>√</v>
      </c>
      <c r="O10" s="3100"/>
      <c r="P10" s="3101"/>
      <c r="Q10" s="3101"/>
      <c r="R10" s="3101"/>
      <c r="S10" s="3102" t="s">
        <v>295</v>
      </c>
      <c r="T10" s="3102" t="s">
        <v>213</v>
      </c>
      <c r="U10" s="3103"/>
      <c r="V10" s="3103" t="s">
        <v>295</v>
      </c>
      <c r="W10" s="3103" t="s">
        <v>6797</v>
      </c>
      <c r="X10" s="3103" t="s">
        <v>213</v>
      </c>
      <c r="Y10" s="3104" t="s">
        <v>164</v>
      </c>
    </row>
    <row r="11" spans="1:25" ht="17" hidden="1">
      <c r="A11" s="1304"/>
      <c r="B11" s="643">
        <v>1015</v>
      </c>
      <c r="C11" s="643" t="s">
        <v>88</v>
      </c>
      <c r="D11" s="3088">
        <v>2</v>
      </c>
      <c r="E11" s="3089" t="str">
        <f t="shared" si="0"/>
        <v>货币资金</v>
      </c>
      <c r="F11" s="3090" t="s">
        <v>89</v>
      </c>
      <c r="G11" s="3091">
        <f t="shared" si="1"/>
        <v>15480.77</v>
      </c>
      <c r="H11" s="3092">
        <f t="shared" ca="1" si="2"/>
        <v>0</v>
      </c>
      <c r="I11" s="3094" t="s">
        <v>6803</v>
      </c>
      <c r="J11" s="3073"/>
      <c r="K11" s="3091">
        <f t="shared" si="3"/>
        <v>17805.68</v>
      </c>
      <c r="L11" s="3072" t="s">
        <v>6799</v>
      </c>
      <c r="M11" s="3094" t="s">
        <v>6803</v>
      </c>
      <c r="N11" s="3073"/>
      <c r="O11" s="3100"/>
      <c r="P11" s="3101"/>
      <c r="Q11" s="3101"/>
      <c r="R11" s="3101"/>
      <c r="S11" s="3102" t="s">
        <v>295</v>
      </c>
      <c r="T11" s="3102" t="s">
        <v>213</v>
      </c>
      <c r="U11" s="3103">
        <v>1015</v>
      </c>
      <c r="V11" s="3103" t="s">
        <v>295</v>
      </c>
      <c r="W11" s="3103" t="s">
        <v>6797</v>
      </c>
      <c r="X11" s="3103" t="s">
        <v>213</v>
      </c>
      <c r="Y11" s="3104" t="s">
        <v>164</v>
      </c>
    </row>
    <row r="12" spans="1:25" ht="26">
      <c r="A12" s="1304"/>
      <c r="B12" s="643">
        <v>1102</v>
      </c>
      <c r="C12" s="643" t="s">
        <v>135</v>
      </c>
      <c r="D12" s="3088">
        <v>1</v>
      </c>
      <c r="E12" s="3089" t="str">
        <f t="shared" si="0"/>
        <v>交易性金融资产</v>
      </c>
      <c r="F12" s="3090" t="s">
        <v>136</v>
      </c>
      <c r="G12" s="3091">
        <f t="shared" si="1"/>
        <v>0</v>
      </c>
      <c r="H12" s="3092">
        <f t="shared" ca="1" si="2"/>
        <v>0</v>
      </c>
      <c r="I12" s="3094">
        <f ca="1">IF(AND(LEN(G12)&gt;0,LEN(H12)&gt;0),ROUND(SUM(G12)-SUM(H12),2),"")</f>
        <v>0</v>
      </c>
      <c r="J12" s="3073" t="str">
        <f ca="1">IF(ISNA(I12),"N/A",IF(I12=0,"√","？"))</f>
        <v>√</v>
      </c>
      <c r="K12" s="3091">
        <f t="shared" si="3"/>
        <v>0</v>
      </c>
      <c r="L12" s="3072">
        <f ca="1">INDIRECT("Notes!CheckB"&amp;$C12)</f>
        <v>0</v>
      </c>
      <c r="M12" s="3094">
        <f ca="1">IF(AND(LEN(K12)&gt;0,LEN(L12)&gt;0),ROUND(SUM(K12)-SUM(L12),2),"")</f>
        <v>0</v>
      </c>
      <c r="N12" s="3073" t="str">
        <f ca="1">IF(ISNA(M12),"N/A",IF(M12=0,"√","？"))</f>
        <v>√</v>
      </c>
      <c r="O12" s="3100"/>
      <c r="P12" s="3101"/>
      <c r="Q12" s="3101"/>
      <c r="R12" s="3101"/>
      <c r="S12" s="3102" t="s">
        <v>295</v>
      </c>
      <c r="T12" s="3102" t="s">
        <v>213</v>
      </c>
      <c r="U12" s="3103">
        <v>1102</v>
      </c>
      <c r="V12" s="3103" t="s">
        <v>295</v>
      </c>
      <c r="W12" s="3103" t="s">
        <v>145</v>
      </c>
      <c r="X12" s="3103" t="s">
        <v>6800</v>
      </c>
      <c r="Y12" s="3104" t="s">
        <v>119</v>
      </c>
    </row>
    <row r="13" spans="1:25" ht="39">
      <c r="A13" s="1304"/>
      <c r="B13" s="643">
        <v>1101</v>
      </c>
      <c r="C13" s="643" t="s">
        <v>106</v>
      </c>
      <c r="D13" s="3088">
        <v>1</v>
      </c>
      <c r="E13" s="3089" t="str">
        <f t="shared" si="0"/>
        <v>以公允价值计量且其变动计入当期损益的金融资产</v>
      </c>
      <c r="F13" s="3090" t="s">
        <v>107</v>
      </c>
      <c r="G13" s="3091">
        <f t="shared" si="1"/>
        <v>0</v>
      </c>
      <c r="H13" s="3092">
        <f t="shared" ca="1" si="2"/>
        <v>0</v>
      </c>
      <c r="I13" s="3094">
        <f ca="1">IF(AND(LEN(G13)&gt;0,LEN(H13)&gt;0),ROUND(SUM(G13)-SUM(H13),2),"")</f>
        <v>0</v>
      </c>
      <c r="J13" s="3073" t="str">
        <f ca="1">IF(ISNA(I13),"N/A",IF(I13=0,"√","？"))</f>
        <v>√</v>
      </c>
      <c r="K13" s="3091">
        <f t="shared" si="3"/>
        <v>0</v>
      </c>
      <c r="L13" s="3072">
        <f ca="1">INDIRECT("Notes!CheckB"&amp;$C13)</f>
        <v>0</v>
      </c>
      <c r="M13" s="3094">
        <f ca="1">IF(AND(LEN(K13)&gt;0,LEN(L13)&gt;0),ROUND(SUM(K13)-SUM(L13),2),"")</f>
        <v>0</v>
      </c>
      <c r="N13" s="3073" t="str">
        <f ca="1">IF(ISNA(M13),"N/A",IF(M13=0,"√","？"))</f>
        <v>√</v>
      </c>
      <c r="O13" s="3100"/>
      <c r="P13" s="3101"/>
      <c r="Q13" s="3101"/>
      <c r="R13" s="3101"/>
      <c r="S13" s="3102" t="s">
        <v>295</v>
      </c>
      <c r="T13" s="3102" t="s">
        <v>213</v>
      </c>
      <c r="U13" s="3103">
        <v>1101</v>
      </c>
      <c r="V13" s="3103" t="s">
        <v>295</v>
      </c>
      <c r="W13" s="3103" t="s">
        <v>6797</v>
      </c>
      <c r="X13" s="3103" t="s">
        <v>6798</v>
      </c>
      <c r="Y13" s="3104" t="s">
        <v>164</v>
      </c>
    </row>
    <row r="14" spans="1:25" ht="17">
      <c r="A14" s="1304"/>
      <c r="B14" s="643">
        <v>1115</v>
      </c>
      <c r="C14" s="643" t="s">
        <v>148</v>
      </c>
      <c r="D14" s="3088">
        <v>1</v>
      </c>
      <c r="E14" s="3089" t="str">
        <f t="shared" si="0"/>
        <v>衍生金融资产</v>
      </c>
      <c r="F14" s="3090" t="s">
        <v>6420</v>
      </c>
      <c r="G14" s="3091">
        <f t="shared" si="1"/>
        <v>0</v>
      </c>
      <c r="H14" s="3092">
        <f t="shared" ca="1" si="2"/>
        <v>0</v>
      </c>
      <c r="I14" s="3094">
        <f ca="1">IF(AND(LEN(G14)&gt;0,LEN(H14)&gt;0),ROUND(SUM(G14)-SUM(H14),2),"")</f>
        <v>0</v>
      </c>
      <c r="J14" s="3073" t="str">
        <f ca="1">IF(ISNA(I14),"N/A",IF(I14=0,"√","？"))</f>
        <v>√</v>
      </c>
      <c r="K14" s="3091">
        <f t="shared" si="3"/>
        <v>0</v>
      </c>
      <c r="L14" s="3072">
        <f ca="1">INDIRECT("Notes!CheckB"&amp;$C14)</f>
        <v>0</v>
      </c>
      <c r="M14" s="3094">
        <f ca="1">IF(AND(LEN(K14)&gt;0,LEN(L14)&gt;0),ROUND(SUM(K14)-SUM(L14),2),"")</f>
        <v>0</v>
      </c>
      <c r="N14" s="3073" t="str">
        <f ca="1">IF(ISNA(M14),"N/A",IF(M14=0,"√","？"))</f>
        <v>√</v>
      </c>
      <c r="O14" s="3100"/>
      <c r="P14" s="3101"/>
      <c r="Q14" s="3101"/>
      <c r="R14" s="3101"/>
      <c r="S14" s="3102" t="s">
        <v>295</v>
      </c>
      <c r="T14" s="3102" t="s">
        <v>213</v>
      </c>
      <c r="U14" s="3103">
        <v>1115</v>
      </c>
      <c r="V14" s="3103" t="s">
        <v>295</v>
      </c>
      <c r="W14" s="3103" t="s">
        <v>6797</v>
      </c>
      <c r="X14" s="3103" t="s">
        <v>6798</v>
      </c>
      <c r="Y14" s="3104" t="s">
        <v>164</v>
      </c>
    </row>
    <row r="15" spans="1:25" ht="17">
      <c r="A15" s="1304"/>
      <c r="B15" s="643">
        <v>1121</v>
      </c>
      <c r="C15" s="643" t="s">
        <v>159</v>
      </c>
      <c r="D15" s="3088">
        <v>1</v>
      </c>
      <c r="E15" s="3089" t="str">
        <f t="shared" si="0"/>
        <v>应收票据</v>
      </c>
      <c r="F15" s="3090" t="s">
        <v>160</v>
      </c>
      <c r="G15" s="3091">
        <f t="shared" si="1"/>
        <v>0</v>
      </c>
      <c r="H15" s="3092">
        <f t="shared" ca="1" si="2"/>
        <v>0</v>
      </c>
      <c r="I15" s="3094">
        <f ca="1">IF(AND(LEN(G15)&gt;0,LEN(H15)&gt;0),ROUND(SUM(G15)-SUM(H15),2),"")</f>
        <v>0</v>
      </c>
      <c r="J15" s="3073" t="str">
        <f ca="1">IF(ISNA(I15),"N/A",IF(I15=0,"√","？"))</f>
        <v>√</v>
      </c>
      <c r="K15" s="3091">
        <f t="shared" si="3"/>
        <v>0</v>
      </c>
      <c r="L15" s="3072">
        <f ca="1">INDIRECT("Notes!CheckB"&amp;$C15)</f>
        <v>0</v>
      </c>
      <c r="M15" s="3094">
        <f ca="1">IF(AND(LEN(K15)&gt;0,LEN(L15)&gt;0),ROUND(SUM(K15)-SUM(L15),2),"")</f>
        <v>0</v>
      </c>
      <c r="N15" s="3073" t="str">
        <f ca="1">IF(ISNA(M15),"N/A",IF(M15=0,"√","？"))</f>
        <v>√</v>
      </c>
      <c r="O15" s="3100"/>
      <c r="P15" s="3101"/>
      <c r="Q15" s="3101"/>
      <c r="R15" s="3101"/>
      <c r="S15" s="3102" t="s">
        <v>295</v>
      </c>
      <c r="T15" s="3102" t="s">
        <v>213</v>
      </c>
      <c r="U15" s="3103">
        <v>1121</v>
      </c>
      <c r="V15" s="3103" t="s">
        <v>295</v>
      </c>
      <c r="W15" s="3103" t="s">
        <v>145</v>
      </c>
      <c r="X15" s="3103" t="s">
        <v>6800</v>
      </c>
      <c r="Y15" s="3104" t="s">
        <v>119</v>
      </c>
    </row>
    <row r="16" spans="1:25" ht="17" hidden="1">
      <c r="A16" s="1304"/>
      <c r="B16" s="643">
        <v>1121</v>
      </c>
      <c r="C16" s="643" t="s">
        <v>170</v>
      </c>
      <c r="D16" s="3088">
        <v>2</v>
      </c>
      <c r="E16" s="3089" t="str">
        <f t="shared" si="0"/>
        <v>应收票据</v>
      </c>
      <c r="F16" s="3090" t="s">
        <v>171</v>
      </c>
      <c r="G16" s="3091">
        <f t="shared" si="1"/>
        <v>0</v>
      </c>
      <c r="H16" s="3092">
        <f t="shared" ca="1" si="2"/>
        <v>0</v>
      </c>
      <c r="I16" s="3094" t="s">
        <v>6803</v>
      </c>
      <c r="J16" s="3073"/>
      <c r="K16" s="3091">
        <f t="shared" si="3"/>
        <v>0</v>
      </c>
      <c r="L16" s="3072" t="s">
        <v>6799</v>
      </c>
      <c r="M16" s="3094" t="s">
        <v>6803</v>
      </c>
      <c r="N16" s="3073"/>
      <c r="O16" s="3100"/>
      <c r="P16" s="3101"/>
      <c r="Q16" s="3101"/>
      <c r="R16" s="3101"/>
      <c r="S16" s="3102" t="s">
        <v>295</v>
      </c>
      <c r="T16" s="3102" t="s">
        <v>213</v>
      </c>
      <c r="U16" s="3103">
        <v>1121</v>
      </c>
      <c r="V16" s="3103" t="s">
        <v>295</v>
      </c>
      <c r="W16" s="3103" t="s">
        <v>6797</v>
      </c>
      <c r="X16" s="3103" t="s">
        <v>6800</v>
      </c>
      <c r="Y16" s="3104" t="s">
        <v>164</v>
      </c>
    </row>
    <row r="17" spans="1:25" ht="26" hidden="1">
      <c r="A17" s="1304"/>
      <c r="B17" s="643">
        <v>1121</v>
      </c>
      <c r="C17" s="643" t="s">
        <v>178</v>
      </c>
      <c r="D17" s="3088">
        <v>2</v>
      </c>
      <c r="E17" s="3089" t="str">
        <f t="shared" si="0"/>
        <v>应收票据</v>
      </c>
      <c r="F17" s="3090" t="s">
        <v>179</v>
      </c>
      <c r="G17" s="3091">
        <f t="shared" si="1"/>
        <v>0</v>
      </c>
      <c r="H17" s="3092" t="s">
        <v>6799</v>
      </c>
      <c r="I17" s="3094" t="s">
        <v>6803</v>
      </c>
      <c r="J17" s="3073"/>
      <c r="K17" s="3091">
        <f t="shared" si="3"/>
        <v>0</v>
      </c>
      <c r="L17" s="3072" t="s">
        <v>6799</v>
      </c>
      <c r="M17" s="3094" t="s">
        <v>6803</v>
      </c>
      <c r="N17" s="3073"/>
      <c r="O17" s="3100"/>
      <c r="P17" s="3101"/>
      <c r="Q17" s="3101"/>
      <c r="R17" s="3101"/>
      <c r="S17" s="3102" t="s">
        <v>295</v>
      </c>
      <c r="T17" s="3102" t="s">
        <v>213</v>
      </c>
      <c r="U17" s="3103">
        <v>1121</v>
      </c>
      <c r="V17" s="3103" t="s">
        <v>295</v>
      </c>
      <c r="W17" s="3103" t="s">
        <v>6797</v>
      </c>
      <c r="X17" s="3103" t="s">
        <v>6800</v>
      </c>
      <c r="Y17" s="3104" t="s">
        <v>164</v>
      </c>
    </row>
    <row r="18" spans="1:25" ht="39" hidden="1">
      <c r="A18" s="1304"/>
      <c r="B18" s="643">
        <v>1121</v>
      </c>
      <c r="C18" s="643" t="s">
        <v>189</v>
      </c>
      <c r="D18" s="3088">
        <v>2</v>
      </c>
      <c r="E18" s="3089" t="str">
        <f t="shared" si="0"/>
        <v>应收票据</v>
      </c>
      <c r="F18" s="3090" t="s">
        <v>190</v>
      </c>
      <c r="G18" s="3091">
        <f t="shared" si="1"/>
        <v>0</v>
      </c>
      <c r="H18" s="3092">
        <f t="shared" ref="H18:H33" ca="1" si="4">INDIRECT("Notes!CheckA"&amp;$C18)</f>
        <v>0</v>
      </c>
      <c r="I18" s="3094" t="s">
        <v>6803</v>
      </c>
      <c r="J18" s="3073"/>
      <c r="K18" s="3091">
        <f t="shared" si="3"/>
        <v>0</v>
      </c>
      <c r="L18" s="3072" t="s">
        <v>6799</v>
      </c>
      <c r="M18" s="3094" t="s">
        <v>6803</v>
      </c>
      <c r="N18" s="3073"/>
      <c r="O18" s="3100"/>
      <c r="P18" s="3101"/>
      <c r="Q18" s="3101"/>
      <c r="R18" s="3101"/>
      <c r="S18" s="3102" t="s">
        <v>295</v>
      </c>
      <c r="T18" s="3102" t="s">
        <v>213</v>
      </c>
      <c r="U18" s="3103">
        <v>1121</v>
      </c>
      <c r="V18" s="3103" t="s">
        <v>295</v>
      </c>
      <c r="W18" s="3103" t="s">
        <v>6797</v>
      </c>
      <c r="X18" s="3103" t="s">
        <v>6800</v>
      </c>
      <c r="Y18" s="3104" t="s">
        <v>164</v>
      </c>
    </row>
    <row r="19" spans="1:25" ht="26" hidden="1">
      <c r="A19" s="1304"/>
      <c r="B19" s="643">
        <v>1121</v>
      </c>
      <c r="C19" s="643" t="s">
        <v>199</v>
      </c>
      <c r="D19" s="3088">
        <v>2</v>
      </c>
      <c r="E19" s="3089" t="str">
        <f t="shared" si="0"/>
        <v>应收票据</v>
      </c>
      <c r="F19" s="3090" t="s">
        <v>200</v>
      </c>
      <c r="G19" s="3091">
        <f t="shared" si="1"/>
        <v>0</v>
      </c>
      <c r="H19" s="3092">
        <f t="shared" ca="1" si="4"/>
        <v>0</v>
      </c>
      <c r="I19" s="3094" t="s">
        <v>6803</v>
      </c>
      <c r="J19" s="3073"/>
      <c r="K19" s="3091">
        <f t="shared" si="3"/>
        <v>0</v>
      </c>
      <c r="L19" s="3072" t="s">
        <v>6799</v>
      </c>
      <c r="M19" s="3094" t="s">
        <v>6803</v>
      </c>
      <c r="N19" s="3073"/>
      <c r="O19" s="3100"/>
      <c r="P19" s="3101"/>
      <c r="Q19" s="3101"/>
      <c r="R19" s="3101"/>
      <c r="S19" s="3102" t="s">
        <v>295</v>
      </c>
      <c r="T19" s="3102" t="s">
        <v>213</v>
      </c>
      <c r="U19" s="3103"/>
      <c r="V19" s="3103" t="s">
        <v>295</v>
      </c>
      <c r="W19" s="3103" t="s">
        <v>145</v>
      </c>
      <c r="X19" s="3103" t="s">
        <v>6800</v>
      </c>
      <c r="Y19" s="3104" t="s">
        <v>119</v>
      </c>
    </row>
    <row r="20" spans="1:25" ht="26" hidden="1">
      <c r="A20" s="1304"/>
      <c r="B20" s="643">
        <v>1121</v>
      </c>
      <c r="C20" s="643" t="s">
        <v>209</v>
      </c>
      <c r="D20" s="3088">
        <v>2</v>
      </c>
      <c r="E20" s="3089" t="str">
        <f t="shared" si="0"/>
        <v>应收票据</v>
      </c>
      <c r="F20" s="3090" t="s">
        <v>210</v>
      </c>
      <c r="G20" s="3091">
        <f t="shared" si="1"/>
        <v>0</v>
      </c>
      <c r="H20" s="3092">
        <f t="shared" ca="1" si="4"/>
        <v>0</v>
      </c>
      <c r="I20" s="3094" t="s">
        <v>6803</v>
      </c>
      <c r="J20" s="3073"/>
      <c r="K20" s="3091">
        <f t="shared" si="3"/>
        <v>0</v>
      </c>
      <c r="L20" s="3072" t="s">
        <v>6799</v>
      </c>
      <c r="M20" s="3094" t="s">
        <v>6803</v>
      </c>
      <c r="N20" s="3073"/>
      <c r="O20" s="3100"/>
      <c r="P20" s="3101"/>
      <c r="Q20" s="3101"/>
      <c r="R20" s="3101"/>
      <c r="S20" s="3102" t="s">
        <v>295</v>
      </c>
      <c r="T20" s="3102" t="s">
        <v>213</v>
      </c>
      <c r="U20" s="3103"/>
      <c r="V20" s="3103" t="s">
        <v>295</v>
      </c>
      <c r="W20" s="3103" t="s">
        <v>145</v>
      </c>
      <c r="X20" s="3103" t="s">
        <v>6800</v>
      </c>
      <c r="Y20" s="3104" t="s">
        <v>119</v>
      </c>
    </row>
    <row r="21" spans="1:25" ht="26" hidden="1">
      <c r="A21" s="1304"/>
      <c r="B21" s="643">
        <v>1121</v>
      </c>
      <c r="C21" s="643" t="s">
        <v>219</v>
      </c>
      <c r="D21" s="3088">
        <v>2</v>
      </c>
      <c r="E21" s="3089" t="str">
        <f t="shared" si="0"/>
        <v>应收票据</v>
      </c>
      <c r="F21" s="3090" t="s">
        <v>220</v>
      </c>
      <c r="G21" s="3091">
        <f t="shared" si="1"/>
        <v>0</v>
      </c>
      <c r="H21" s="3092">
        <f t="shared" ca="1" si="4"/>
        <v>0</v>
      </c>
      <c r="I21" s="3094" t="s">
        <v>6803</v>
      </c>
      <c r="J21" s="3073"/>
      <c r="K21" s="3091">
        <f t="shared" si="3"/>
        <v>0</v>
      </c>
      <c r="L21" s="3072" t="s">
        <v>6799</v>
      </c>
      <c r="M21" s="3094" t="s">
        <v>6803</v>
      </c>
      <c r="N21" s="3073"/>
      <c r="O21" s="3100"/>
      <c r="P21" s="3101"/>
      <c r="Q21" s="3101"/>
      <c r="R21" s="3101"/>
      <c r="S21" s="3102" t="s">
        <v>295</v>
      </c>
      <c r="T21" s="3102" t="s">
        <v>213</v>
      </c>
      <c r="U21" s="3103"/>
      <c r="V21" s="3103" t="s">
        <v>295</v>
      </c>
      <c r="W21" s="3103" t="s">
        <v>145</v>
      </c>
      <c r="X21" s="3103" t="s">
        <v>6800</v>
      </c>
      <c r="Y21" s="3104" t="s">
        <v>119</v>
      </c>
    </row>
    <row r="22" spans="1:25" ht="26" hidden="1">
      <c r="A22" s="1304"/>
      <c r="B22" s="643">
        <v>1121</v>
      </c>
      <c r="C22" s="643" t="s">
        <v>6118</v>
      </c>
      <c r="D22" s="3088">
        <v>2</v>
      </c>
      <c r="E22" s="3089" t="str">
        <f t="shared" si="0"/>
        <v>应收票据</v>
      </c>
      <c r="F22" s="3090" t="s">
        <v>6119</v>
      </c>
      <c r="G22" s="3091">
        <f t="shared" si="1"/>
        <v>0</v>
      </c>
      <c r="H22" s="3092">
        <f t="shared" ca="1" si="4"/>
        <v>0</v>
      </c>
      <c r="I22" s="3094" t="s">
        <v>6803</v>
      </c>
      <c r="J22" s="3073"/>
      <c r="K22" s="3091">
        <f t="shared" si="3"/>
        <v>0</v>
      </c>
      <c r="L22" s="3072">
        <f ca="1">INDIRECT("Notes!CheckB"&amp;$C22)</f>
        <v>0</v>
      </c>
      <c r="M22" s="3094" t="s">
        <v>6803</v>
      </c>
      <c r="N22" s="3073"/>
      <c r="O22" s="3100"/>
      <c r="P22" s="3101"/>
      <c r="Q22" s="3101"/>
      <c r="R22" s="3101"/>
      <c r="S22" s="3102" t="s">
        <v>295</v>
      </c>
      <c r="T22" s="3102" t="s">
        <v>213</v>
      </c>
      <c r="U22" s="3103"/>
      <c r="V22" s="3103" t="s">
        <v>295</v>
      </c>
      <c r="W22" s="3103" t="s">
        <v>145</v>
      </c>
      <c r="X22" s="3103" t="s">
        <v>213</v>
      </c>
      <c r="Y22" s="3104" t="s">
        <v>119</v>
      </c>
    </row>
    <row r="23" spans="1:25" ht="26" hidden="1">
      <c r="A23" s="1304"/>
      <c r="B23" s="643">
        <v>1121</v>
      </c>
      <c r="C23" s="643" t="s">
        <v>227</v>
      </c>
      <c r="D23" s="3088">
        <v>2</v>
      </c>
      <c r="E23" s="3089" t="str">
        <f t="shared" si="0"/>
        <v>应收票据</v>
      </c>
      <c r="F23" s="3090" t="s">
        <v>228</v>
      </c>
      <c r="G23" s="3091">
        <f t="shared" si="1"/>
        <v>0</v>
      </c>
      <c r="H23" s="3092">
        <f t="shared" ca="1" si="4"/>
        <v>0</v>
      </c>
      <c r="I23" s="3094" t="s">
        <v>6803</v>
      </c>
      <c r="J23" s="3073"/>
      <c r="K23" s="3091">
        <f t="shared" si="3"/>
        <v>0</v>
      </c>
      <c r="L23" s="3072">
        <f ca="1">INDIRECT("Notes!CheckB"&amp;$C23)</f>
        <v>0</v>
      </c>
      <c r="M23" s="3094" t="s">
        <v>6803</v>
      </c>
      <c r="N23" s="3073"/>
      <c r="O23" s="3100"/>
      <c r="P23" s="3101"/>
      <c r="Q23" s="3101"/>
      <c r="R23" s="3101"/>
      <c r="S23" s="3102" t="s">
        <v>295</v>
      </c>
      <c r="T23" s="3102" t="s">
        <v>213</v>
      </c>
      <c r="U23" s="3103"/>
      <c r="V23" s="3103" t="s">
        <v>295</v>
      </c>
      <c r="W23" s="3103" t="s">
        <v>145</v>
      </c>
      <c r="X23" s="3103" t="s">
        <v>6800</v>
      </c>
      <c r="Y23" s="3104" t="s">
        <v>119</v>
      </c>
    </row>
    <row r="24" spans="1:25" ht="26" hidden="1">
      <c r="A24" s="1304"/>
      <c r="B24" s="643">
        <v>1121</v>
      </c>
      <c r="C24" s="643" t="s">
        <v>235</v>
      </c>
      <c r="D24" s="3088">
        <v>2</v>
      </c>
      <c r="E24" s="3089" t="str">
        <f t="shared" si="0"/>
        <v>应收票据</v>
      </c>
      <c r="F24" s="3090" t="s">
        <v>236</v>
      </c>
      <c r="G24" s="3091">
        <f t="shared" si="1"/>
        <v>0</v>
      </c>
      <c r="H24" s="3092">
        <f t="shared" ca="1" si="4"/>
        <v>0</v>
      </c>
      <c r="I24" s="3094" t="s">
        <v>6803</v>
      </c>
      <c r="J24" s="3073"/>
      <c r="K24" s="3091">
        <f t="shared" si="3"/>
        <v>0</v>
      </c>
      <c r="L24" s="3072" t="s">
        <v>6799</v>
      </c>
      <c r="M24" s="3094" t="s">
        <v>6803</v>
      </c>
      <c r="N24" s="3073"/>
      <c r="O24" s="3100"/>
      <c r="P24" s="3101"/>
      <c r="Q24" s="3101"/>
      <c r="R24" s="3101"/>
      <c r="S24" s="3102" t="s">
        <v>295</v>
      </c>
      <c r="T24" s="3102" t="s">
        <v>213</v>
      </c>
      <c r="U24" s="3103">
        <v>1121</v>
      </c>
      <c r="V24" s="3103" t="s">
        <v>295</v>
      </c>
      <c r="W24" s="3103" t="s">
        <v>6797</v>
      </c>
      <c r="X24" s="3103" t="s">
        <v>6800</v>
      </c>
      <c r="Y24" s="3104" t="s">
        <v>164</v>
      </c>
    </row>
    <row r="25" spans="1:25" ht="26" hidden="1">
      <c r="A25" s="1304"/>
      <c r="B25" s="643">
        <v>1121</v>
      </c>
      <c r="C25" s="643" t="s">
        <v>245</v>
      </c>
      <c r="D25" s="3088">
        <v>2</v>
      </c>
      <c r="E25" s="3089" t="str">
        <f t="shared" si="0"/>
        <v>应收票据</v>
      </c>
      <c r="F25" s="3090" t="s">
        <v>246</v>
      </c>
      <c r="G25" s="3091">
        <f t="shared" si="1"/>
        <v>0</v>
      </c>
      <c r="H25" s="3092">
        <f t="shared" ca="1" si="4"/>
        <v>0</v>
      </c>
      <c r="I25" s="3094" t="s">
        <v>6803</v>
      </c>
      <c r="J25" s="3073"/>
      <c r="K25" s="3091">
        <f t="shared" si="3"/>
        <v>0</v>
      </c>
      <c r="L25" s="3072" t="s">
        <v>6799</v>
      </c>
      <c r="M25" s="3094" t="s">
        <v>6803</v>
      </c>
      <c r="N25" s="3073"/>
      <c r="O25" s="3100"/>
      <c r="P25" s="3101"/>
      <c r="Q25" s="3101"/>
      <c r="R25" s="3101"/>
      <c r="S25" s="3102" t="s">
        <v>295</v>
      </c>
      <c r="T25" s="3102" t="s">
        <v>213</v>
      </c>
      <c r="U25" s="3103">
        <v>1121</v>
      </c>
      <c r="V25" s="3103" t="s">
        <v>295</v>
      </c>
      <c r="W25" s="3103" t="s">
        <v>6797</v>
      </c>
      <c r="X25" s="3103" t="s">
        <v>6800</v>
      </c>
      <c r="Y25" s="3104" t="s">
        <v>164</v>
      </c>
    </row>
    <row r="26" spans="1:25" ht="26" hidden="1">
      <c r="A26" s="1304"/>
      <c r="B26" s="643">
        <v>1121</v>
      </c>
      <c r="C26" s="643" t="s">
        <v>255</v>
      </c>
      <c r="D26" s="3088">
        <v>2</v>
      </c>
      <c r="E26" s="3089" t="str">
        <f t="shared" si="0"/>
        <v>应收票据</v>
      </c>
      <c r="F26" s="3090" t="s">
        <v>256</v>
      </c>
      <c r="G26" s="3091">
        <f t="shared" si="1"/>
        <v>0</v>
      </c>
      <c r="H26" s="3092">
        <f t="shared" ca="1" si="4"/>
        <v>0</v>
      </c>
      <c r="I26" s="3094" t="s">
        <v>6803</v>
      </c>
      <c r="J26" s="3073"/>
      <c r="K26" s="3091">
        <f t="shared" si="3"/>
        <v>0</v>
      </c>
      <c r="L26" s="3072" t="s">
        <v>6799</v>
      </c>
      <c r="M26" s="3094" t="s">
        <v>6803</v>
      </c>
      <c r="N26" s="3073"/>
      <c r="O26" s="3100"/>
      <c r="P26" s="3101"/>
      <c r="Q26" s="3101"/>
      <c r="R26" s="3101"/>
      <c r="S26" s="3102" t="s">
        <v>295</v>
      </c>
      <c r="T26" s="3102" t="s">
        <v>213</v>
      </c>
      <c r="U26" s="3103"/>
      <c r="V26" s="3103" t="s">
        <v>295</v>
      </c>
      <c r="W26" s="3103" t="s">
        <v>6797</v>
      </c>
      <c r="X26" s="3103" t="s">
        <v>6800</v>
      </c>
      <c r="Y26" s="3104" t="s">
        <v>164</v>
      </c>
    </row>
    <row r="27" spans="1:25" ht="17" hidden="1">
      <c r="A27" s="1304"/>
      <c r="B27" s="643">
        <v>1121</v>
      </c>
      <c r="C27" s="643" t="s">
        <v>5586</v>
      </c>
      <c r="D27" s="3088">
        <v>2</v>
      </c>
      <c r="E27" s="3089" t="str">
        <f t="shared" si="0"/>
        <v>应收票据</v>
      </c>
      <c r="F27" s="3090" t="s">
        <v>5587</v>
      </c>
      <c r="G27" s="3091">
        <f t="shared" si="1"/>
        <v>0</v>
      </c>
      <c r="H27" s="3092">
        <f t="shared" ca="1" si="4"/>
        <v>0</v>
      </c>
      <c r="I27" s="3094" t="s">
        <v>6803</v>
      </c>
      <c r="J27" s="3073"/>
      <c r="K27" s="3091">
        <f t="shared" si="3"/>
        <v>0</v>
      </c>
      <c r="L27" s="3072">
        <f ca="1">INDIRECT("Notes!CheckB"&amp;$C27)</f>
        <v>0</v>
      </c>
      <c r="M27" s="3094" t="s">
        <v>6803</v>
      </c>
      <c r="N27" s="3073"/>
      <c r="O27" s="3100"/>
      <c r="P27" s="3101"/>
      <c r="Q27" s="3101"/>
      <c r="R27" s="3101"/>
      <c r="S27" s="3102" t="s">
        <v>295</v>
      </c>
      <c r="T27" s="3102" t="s">
        <v>213</v>
      </c>
      <c r="U27" s="3103"/>
      <c r="V27" s="3103" t="s">
        <v>295</v>
      </c>
      <c r="W27" s="3103" t="s">
        <v>6797</v>
      </c>
      <c r="X27" s="3103" t="s">
        <v>213</v>
      </c>
      <c r="Y27" s="3104" t="s">
        <v>164</v>
      </c>
    </row>
    <row r="28" spans="1:25" ht="17">
      <c r="A28" s="1304"/>
      <c r="B28" s="643">
        <v>1122</v>
      </c>
      <c r="C28" s="643" t="s">
        <v>271</v>
      </c>
      <c r="D28" s="3088">
        <v>1</v>
      </c>
      <c r="E28" s="3089" t="str">
        <f t="shared" si="0"/>
        <v>应收账款</v>
      </c>
      <c r="F28" s="3090" t="s">
        <v>272</v>
      </c>
      <c r="G28" s="3091">
        <f t="shared" si="1"/>
        <v>0</v>
      </c>
      <c r="H28" s="3092">
        <f t="shared" ca="1" si="4"/>
        <v>0</v>
      </c>
      <c r="I28" s="3094">
        <f ca="1">IF(AND(LEN(G28)&gt;0,LEN(H28)&gt;0),ROUND(SUM(G28)-SUM(H28),2),"")</f>
        <v>0</v>
      </c>
      <c r="J28" s="3073" t="str">
        <f ca="1">IF(ISNA(I28),"N/A",IF(I28=0,"√","？"))</f>
        <v>√</v>
      </c>
      <c r="K28" s="3091">
        <f t="shared" si="3"/>
        <v>0</v>
      </c>
      <c r="L28" s="3072">
        <f ca="1">INDIRECT("Notes!CheckB"&amp;$C28)</f>
        <v>0</v>
      </c>
      <c r="M28" s="3094">
        <f ca="1">IF(AND(LEN(K28)&gt;0,LEN(L28)&gt;0),ROUND(SUM(K28)-SUM(L28),2),"")</f>
        <v>0</v>
      </c>
      <c r="N28" s="3073" t="str">
        <f ca="1">IF(ISNA(M28),"N/A",IF(M28=0,"√","？"))</f>
        <v>√</v>
      </c>
      <c r="O28" s="3100"/>
      <c r="P28" s="3101"/>
      <c r="Q28" s="3101"/>
      <c r="R28" s="3101"/>
      <c r="S28" s="3102" t="s">
        <v>295</v>
      </c>
      <c r="T28" s="3102" t="s">
        <v>213</v>
      </c>
      <c r="U28" s="3103">
        <v>1122</v>
      </c>
      <c r="V28" s="3103" t="s">
        <v>295</v>
      </c>
      <c r="W28" s="3103" t="s">
        <v>145</v>
      </c>
      <c r="X28" s="3103" t="s">
        <v>6800</v>
      </c>
      <c r="Y28" s="3104" t="s">
        <v>119</v>
      </c>
    </row>
    <row r="29" spans="1:25" ht="39" hidden="1">
      <c r="A29" s="1304"/>
      <c r="B29" s="643">
        <v>1122</v>
      </c>
      <c r="C29" s="643" t="s">
        <v>281</v>
      </c>
      <c r="D29" s="3088">
        <v>2</v>
      </c>
      <c r="E29" s="3089" t="str">
        <f t="shared" si="0"/>
        <v>应收账款</v>
      </c>
      <c r="F29" s="3090" t="s">
        <v>6423</v>
      </c>
      <c r="G29" s="3091">
        <f t="shared" si="1"/>
        <v>0</v>
      </c>
      <c r="H29" s="3092">
        <f t="shared" ca="1" si="4"/>
        <v>0</v>
      </c>
      <c r="I29" s="3094" t="s">
        <v>6803</v>
      </c>
      <c r="J29" s="3073"/>
      <c r="K29" s="3091">
        <f t="shared" si="3"/>
        <v>0</v>
      </c>
      <c r="L29" s="3072" t="s">
        <v>6799</v>
      </c>
      <c r="M29" s="3094" t="s">
        <v>6803</v>
      </c>
      <c r="N29" s="3073"/>
      <c r="O29" s="3100"/>
      <c r="P29" s="3101"/>
      <c r="Q29" s="3101"/>
      <c r="R29" s="3101"/>
      <c r="S29" s="3102" t="s">
        <v>295</v>
      </c>
      <c r="T29" s="3102" t="s">
        <v>213</v>
      </c>
      <c r="U29" s="3103"/>
      <c r="V29" s="3103" t="s">
        <v>295</v>
      </c>
      <c r="W29" s="3103" t="s">
        <v>145</v>
      </c>
      <c r="X29" s="3103" t="s">
        <v>6800</v>
      </c>
      <c r="Y29" s="3104" t="s">
        <v>119</v>
      </c>
    </row>
    <row r="30" spans="1:25" ht="39" hidden="1">
      <c r="A30" s="1304"/>
      <c r="B30" s="643">
        <v>1122</v>
      </c>
      <c r="C30" s="643" t="s">
        <v>302</v>
      </c>
      <c r="D30" s="3088">
        <v>2</v>
      </c>
      <c r="E30" s="3089" t="str">
        <f t="shared" si="0"/>
        <v>应收账款</v>
      </c>
      <c r="F30" s="3090" t="s">
        <v>6424</v>
      </c>
      <c r="G30" s="3091">
        <f t="shared" si="1"/>
        <v>0</v>
      </c>
      <c r="H30" s="3092">
        <f t="shared" ca="1" si="4"/>
        <v>0</v>
      </c>
      <c r="I30" s="3094" t="s">
        <v>6803</v>
      </c>
      <c r="J30" s="3073"/>
      <c r="K30" s="3091">
        <f t="shared" si="3"/>
        <v>0</v>
      </c>
      <c r="L30" s="3072" t="s">
        <v>6799</v>
      </c>
      <c r="M30" s="3094" t="s">
        <v>6803</v>
      </c>
      <c r="N30" s="3073"/>
      <c r="O30" s="3100"/>
      <c r="P30" s="3101"/>
      <c r="Q30" s="3101"/>
      <c r="R30" s="3101"/>
      <c r="S30" s="3102" t="s">
        <v>295</v>
      </c>
      <c r="T30" s="3102" t="s">
        <v>213</v>
      </c>
      <c r="U30" s="3103"/>
      <c r="V30" s="3103" t="s">
        <v>295</v>
      </c>
      <c r="W30" s="3103" t="s">
        <v>145</v>
      </c>
      <c r="X30" s="3103" t="s">
        <v>6800</v>
      </c>
      <c r="Y30" s="3104" t="s">
        <v>119</v>
      </c>
    </row>
    <row r="31" spans="1:25" ht="39" hidden="1">
      <c r="A31" s="1304"/>
      <c r="B31" s="643">
        <v>1122</v>
      </c>
      <c r="C31" s="643" t="s">
        <v>310</v>
      </c>
      <c r="D31" s="3088">
        <v>2</v>
      </c>
      <c r="E31" s="3089" t="str">
        <f t="shared" si="0"/>
        <v>应收账款</v>
      </c>
      <c r="F31" s="3090" t="s">
        <v>6425</v>
      </c>
      <c r="G31" s="3091">
        <f t="shared" si="1"/>
        <v>0</v>
      </c>
      <c r="H31" s="3092">
        <f t="shared" ca="1" si="4"/>
        <v>0</v>
      </c>
      <c r="I31" s="3094" t="s">
        <v>6803</v>
      </c>
      <c r="J31" s="3073"/>
      <c r="K31" s="3091">
        <f t="shared" si="3"/>
        <v>0</v>
      </c>
      <c r="L31" s="3072" t="s">
        <v>6799</v>
      </c>
      <c r="M31" s="3094" t="s">
        <v>6803</v>
      </c>
      <c r="N31" s="3073"/>
      <c r="O31" s="3100"/>
      <c r="P31" s="3101"/>
      <c r="Q31" s="3101"/>
      <c r="R31" s="3101"/>
      <c r="S31" s="3102" t="s">
        <v>295</v>
      </c>
      <c r="T31" s="3102" t="s">
        <v>213</v>
      </c>
      <c r="U31" s="3103"/>
      <c r="V31" s="3103" t="s">
        <v>295</v>
      </c>
      <c r="W31" s="3103" t="s">
        <v>145</v>
      </c>
      <c r="X31" s="3103" t="s">
        <v>6800</v>
      </c>
      <c r="Y31" s="3104" t="s">
        <v>119</v>
      </c>
    </row>
    <row r="32" spans="1:25" ht="39" hidden="1">
      <c r="A32" s="1304"/>
      <c r="B32" s="643">
        <v>1122</v>
      </c>
      <c r="C32" s="643" t="s">
        <v>316</v>
      </c>
      <c r="D32" s="3088">
        <v>2</v>
      </c>
      <c r="E32" s="3089" t="str">
        <f t="shared" si="0"/>
        <v>应收账款</v>
      </c>
      <c r="F32" s="3090" t="s">
        <v>6426</v>
      </c>
      <c r="G32" s="3091">
        <f t="shared" si="1"/>
        <v>0</v>
      </c>
      <c r="H32" s="3092">
        <f t="shared" ca="1" si="4"/>
        <v>0</v>
      </c>
      <c r="I32" s="3094" t="s">
        <v>6803</v>
      </c>
      <c r="J32" s="3073"/>
      <c r="K32" s="3091">
        <f t="shared" si="3"/>
        <v>0</v>
      </c>
      <c r="L32" s="3072" t="s">
        <v>6799</v>
      </c>
      <c r="M32" s="3094" t="s">
        <v>6803</v>
      </c>
      <c r="N32" s="3073"/>
      <c r="O32" s="3100"/>
      <c r="P32" s="3101"/>
      <c r="Q32" s="3101"/>
      <c r="R32" s="3101"/>
      <c r="S32" s="3102" t="s">
        <v>295</v>
      </c>
      <c r="T32" s="3102" t="s">
        <v>213</v>
      </c>
      <c r="U32" s="3103"/>
      <c r="V32" s="3103" t="s">
        <v>295</v>
      </c>
      <c r="W32" s="3103" t="s">
        <v>145</v>
      </c>
      <c r="X32" s="3103" t="s">
        <v>213</v>
      </c>
      <c r="Y32" s="3104" t="s">
        <v>119</v>
      </c>
    </row>
    <row r="33" spans="1:25" ht="39" hidden="1">
      <c r="A33" s="1304"/>
      <c r="B33" s="643">
        <v>1122</v>
      </c>
      <c r="C33" s="643">
        <v>112202</v>
      </c>
      <c r="D33" s="3088">
        <v>2</v>
      </c>
      <c r="E33" s="3089" t="str">
        <f t="shared" si="0"/>
        <v>应收账款</v>
      </c>
      <c r="F33" s="3090" t="s">
        <v>6427</v>
      </c>
      <c r="G33" s="3091">
        <f t="shared" si="1"/>
        <v>0</v>
      </c>
      <c r="H33" s="3092">
        <f t="shared" ca="1" si="4"/>
        <v>0</v>
      </c>
      <c r="I33" s="3094" t="s">
        <v>6803</v>
      </c>
      <c r="J33" s="3073"/>
      <c r="K33" s="3091">
        <f t="shared" si="3"/>
        <v>0</v>
      </c>
      <c r="L33" s="3072" t="s">
        <v>6799</v>
      </c>
      <c r="M33" s="3094" t="s">
        <v>6803</v>
      </c>
      <c r="N33" s="3073"/>
      <c r="O33" s="3100"/>
      <c r="P33" s="3101"/>
      <c r="Q33" s="3101"/>
      <c r="R33" s="3101"/>
      <c r="S33" s="3102" t="s">
        <v>295</v>
      </c>
      <c r="T33" s="3102" t="s">
        <v>213</v>
      </c>
      <c r="U33" s="3103"/>
      <c r="V33" s="3103" t="s">
        <v>295</v>
      </c>
      <c r="W33" s="3103" t="s">
        <v>145</v>
      </c>
      <c r="X33" s="3103" t="s">
        <v>213</v>
      </c>
      <c r="Y33" s="3104" t="s">
        <v>119</v>
      </c>
    </row>
    <row r="34" spans="1:25" ht="39" hidden="1">
      <c r="A34" s="1304"/>
      <c r="B34" s="643">
        <v>1122</v>
      </c>
      <c r="C34" s="643" t="s">
        <v>292</v>
      </c>
      <c r="D34" s="3088">
        <v>2</v>
      </c>
      <c r="E34" s="3089" t="str">
        <f t="shared" si="0"/>
        <v>应收账款</v>
      </c>
      <c r="F34" s="3090" t="s">
        <v>6428</v>
      </c>
      <c r="G34" s="3091">
        <f t="shared" si="1"/>
        <v>0</v>
      </c>
      <c r="H34" s="3092" t="s">
        <v>6799</v>
      </c>
      <c r="I34" s="3094" t="s">
        <v>6803</v>
      </c>
      <c r="J34" s="3073"/>
      <c r="K34" s="3091">
        <f t="shared" si="3"/>
        <v>0</v>
      </c>
      <c r="L34" s="3072">
        <f ca="1">INDIRECT("Notes!CheckB"&amp;$C34)</f>
        <v>0</v>
      </c>
      <c r="M34" s="3094" t="s">
        <v>6803</v>
      </c>
      <c r="N34" s="3073"/>
      <c r="O34" s="3100"/>
      <c r="P34" s="3101"/>
      <c r="Q34" s="3101"/>
      <c r="R34" s="3101"/>
      <c r="S34" s="3102" t="s">
        <v>295</v>
      </c>
      <c r="T34" s="3102" t="s">
        <v>213</v>
      </c>
      <c r="U34" s="3103"/>
      <c r="V34" s="3103" t="s">
        <v>295</v>
      </c>
      <c r="W34" s="3103" t="s">
        <v>145</v>
      </c>
      <c r="X34" s="3103" t="s">
        <v>6800</v>
      </c>
      <c r="Y34" s="3104" t="s">
        <v>119</v>
      </c>
    </row>
    <row r="35" spans="1:25" ht="52" hidden="1">
      <c r="A35" s="1304"/>
      <c r="B35" s="643">
        <v>1122</v>
      </c>
      <c r="C35" s="643" t="s">
        <v>5109</v>
      </c>
      <c r="D35" s="3088">
        <v>2</v>
      </c>
      <c r="E35" s="3089" t="str">
        <f t="shared" si="0"/>
        <v>应收账款</v>
      </c>
      <c r="F35" s="3090" t="s">
        <v>6429</v>
      </c>
      <c r="G35" s="3091">
        <f t="shared" si="1"/>
        <v>0</v>
      </c>
      <c r="H35" s="3092" t="s">
        <v>6799</v>
      </c>
      <c r="I35" s="3094" t="s">
        <v>6803</v>
      </c>
      <c r="J35" s="3073"/>
      <c r="K35" s="3091">
        <f t="shared" si="3"/>
        <v>0</v>
      </c>
      <c r="L35" s="3072">
        <f ca="1">INDIRECT("Notes!CheckB"&amp;$C35)</f>
        <v>0</v>
      </c>
      <c r="M35" s="3094" t="s">
        <v>6803</v>
      </c>
      <c r="N35" s="3073"/>
      <c r="O35" s="3100"/>
      <c r="P35" s="3101"/>
      <c r="Q35" s="3101"/>
      <c r="R35" s="3101"/>
      <c r="S35" s="3102" t="s">
        <v>295</v>
      </c>
      <c r="T35" s="3102" t="s">
        <v>213</v>
      </c>
      <c r="U35" s="3103"/>
      <c r="V35" s="3103" t="s">
        <v>295</v>
      </c>
      <c r="W35" s="3103" t="s">
        <v>145</v>
      </c>
      <c r="X35" s="3103" t="s">
        <v>6800</v>
      </c>
      <c r="Y35" s="3104" t="s">
        <v>119</v>
      </c>
    </row>
    <row r="36" spans="1:25" ht="52" hidden="1">
      <c r="A36" s="1304"/>
      <c r="B36" s="643">
        <v>1122</v>
      </c>
      <c r="C36" s="643" t="s">
        <v>5110</v>
      </c>
      <c r="D36" s="3088">
        <v>2</v>
      </c>
      <c r="E36" s="3089" t="str">
        <f t="shared" si="0"/>
        <v>应收账款</v>
      </c>
      <c r="F36" s="3090" t="s">
        <v>6430</v>
      </c>
      <c r="G36" s="3091">
        <f t="shared" si="1"/>
        <v>0</v>
      </c>
      <c r="H36" s="3092" t="s">
        <v>6799</v>
      </c>
      <c r="I36" s="3094" t="s">
        <v>6803</v>
      </c>
      <c r="J36" s="3073"/>
      <c r="K36" s="3091">
        <f t="shared" si="3"/>
        <v>0</v>
      </c>
      <c r="L36" s="3072">
        <f ca="1">INDIRECT("Notes!CheckB"&amp;$C36)</f>
        <v>0</v>
      </c>
      <c r="M36" s="3094" t="s">
        <v>6803</v>
      </c>
      <c r="N36" s="3073"/>
      <c r="O36" s="3100"/>
      <c r="P36" s="3101"/>
      <c r="Q36" s="3101"/>
      <c r="R36" s="3101"/>
      <c r="S36" s="3102" t="s">
        <v>295</v>
      </c>
      <c r="T36" s="3102" t="s">
        <v>213</v>
      </c>
      <c r="U36" s="3103"/>
      <c r="V36" s="3103" t="s">
        <v>295</v>
      </c>
      <c r="W36" s="3103" t="s">
        <v>145</v>
      </c>
      <c r="X36" s="3103" t="s">
        <v>6800</v>
      </c>
      <c r="Y36" s="3104" t="s">
        <v>119</v>
      </c>
    </row>
    <row r="37" spans="1:25" ht="26" hidden="1">
      <c r="A37" s="1304"/>
      <c r="B37" s="643">
        <v>1122</v>
      </c>
      <c r="C37" s="643" t="s">
        <v>335</v>
      </c>
      <c r="D37" s="3088">
        <v>2</v>
      </c>
      <c r="E37" s="3089" t="str">
        <f t="shared" si="0"/>
        <v>应收账款</v>
      </c>
      <c r="F37" s="3090" t="s">
        <v>336</v>
      </c>
      <c r="G37" s="3091">
        <f t="shared" si="1"/>
        <v>0</v>
      </c>
      <c r="H37" s="3092">
        <f t="shared" ref="H37:H68" ca="1" si="5">INDIRECT("Notes!CheckA"&amp;$C37)</f>
        <v>0</v>
      </c>
      <c r="I37" s="3094" t="s">
        <v>6803</v>
      </c>
      <c r="J37" s="3073"/>
      <c r="K37" s="3091">
        <f t="shared" si="3"/>
        <v>0</v>
      </c>
      <c r="L37" s="3072">
        <f ca="1">INDIRECT("Notes!CheckB"&amp;$C37)</f>
        <v>0</v>
      </c>
      <c r="M37" s="3094" t="s">
        <v>6803</v>
      </c>
      <c r="N37" s="3073"/>
      <c r="O37" s="3100"/>
      <c r="P37" s="3101"/>
      <c r="Q37" s="3101"/>
      <c r="R37" s="3101"/>
      <c r="S37" s="3102" t="s">
        <v>295</v>
      </c>
      <c r="T37" s="3102" t="s">
        <v>213</v>
      </c>
      <c r="U37" s="3103"/>
      <c r="V37" s="3103" t="s">
        <v>295</v>
      </c>
      <c r="W37" s="3103" t="s">
        <v>145</v>
      </c>
      <c r="X37" s="3103" t="s">
        <v>6800</v>
      </c>
      <c r="Y37" s="3104" t="s">
        <v>119</v>
      </c>
    </row>
    <row r="38" spans="1:25" ht="26" hidden="1">
      <c r="A38" s="1304"/>
      <c r="B38" s="643">
        <v>1122</v>
      </c>
      <c r="C38" s="643" t="s">
        <v>342</v>
      </c>
      <c r="D38" s="3088">
        <v>2</v>
      </c>
      <c r="E38" s="3089" t="str">
        <f t="shared" si="0"/>
        <v>应收账款</v>
      </c>
      <c r="F38" s="3090" t="s">
        <v>343</v>
      </c>
      <c r="G38" s="3091">
        <f t="shared" si="1"/>
        <v>0</v>
      </c>
      <c r="H38" s="3092">
        <f t="shared" ca="1" si="5"/>
        <v>0</v>
      </c>
      <c r="I38" s="3094" t="s">
        <v>6803</v>
      </c>
      <c r="J38" s="3073"/>
      <c r="K38" s="3091">
        <f t="shared" si="3"/>
        <v>0</v>
      </c>
      <c r="L38" s="3072" t="s">
        <v>6799</v>
      </c>
      <c r="M38" s="3094" t="s">
        <v>6803</v>
      </c>
      <c r="N38" s="3073"/>
      <c r="O38" s="3100"/>
      <c r="P38" s="3101"/>
      <c r="Q38" s="3101"/>
      <c r="R38" s="3101"/>
      <c r="S38" s="3102" t="s">
        <v>295</v>
      </c>
      <c r="T38" s="3102" t="s">
        <v>213</v>
      </c>
      <c r="U38" s="3103">
        <v>1122</v>
      </c>
      <c r="V38" s="3103" t="s">
        <v>295</v>
      </c>
      <c r="W38" s="3103" t="s">
        <v>6797</v>
      </c>
      <c r="X38" s="3103" t="s">
        <v>6800</v>
      </c>
      <c r="Y38" s="3104" t="s">
        <v>164</v>
      </c>
    </row>
    <row r="39" spans="1:25" ht="26" hidden="1">
      <c r="A39" s="1304"/>
      <c r="B39" s="643">
        <v>1122</v>
      </c>
      <c r="C39" s="643" t="s">
        <v>349</v>
      </c>
      <c r="D39" s="3088">
        <v>2</v>
      </c>
      <c r="E39" s="3089" t="str">
        <f t="shared" si="0"/>
        <v>应收账款</v>
      </c>
      <c r="F39" s="3090" t="s">
        <v>350</v>
      </c>
      <c r="G39" s="3091">
        <f t="shared" si="1"/>
        <v>0</v>
      </c>
      <c r="H39" s="3092">
        <f t="shared" ca="1" si="5"/>
        <v>0</v>
      </c>
      <c r="I39" s="3094" t="s">
        <v>6803</v>
      </c>
      <c r="J39" s="3073"/>
      <c r="K39" s="3091">
        <f t="shared" si="3"/>
        <v>0</v>
      </c>
      <c r="L39" s="3072" t="s">
        <v>6799</v>
      </c>
      <c r="M39" s="3094" t="s">
        <v>6803</v>
      </c>
      <c r="N39" s="3073"/>
      <c r="O39" s="3100"/>
      <c r="P39" s="3101"/>
      <c r="Q39" s="3101"/>
      <c r="R39" s="3101"/>
      <c r="S39" s="3102" t="s">
        <v>295</v>
      </c>
      <c r="T39" s="3102" t="s">
        <v>213</v>
      </c>
      <c r="U39" s="3103">
        <v>1122</v>
      </c>
      <c r="V39" s="3103" t="s">
        <v>295</v>
      </c>
      <c r="W39" s="3103" t="s">
        <v>6797</v>
      </c>
      <c r="X39" s="3103" t="s">
        <v>6800</v>
      </c>
      <c r="Y39" s="3104" t="s">
        <v>164</v>
      </c>
    </row>
    <row r="40" spans="1:25" ht="26" hidden="1">
      <c r="A40" s="1304"/>
      <c r="B40" s="643">
        <v>1122</v>
      </c>
      <c r="C40" s="643" t="s">
        <v>357</v>
      </c>
      <c r="D40" s="3088">
        <v>2</v>
      </c>
      <c r="E40" s="3089" t="str">
        <f t="shared" si="0"/>
        <v>应收账款</v>
      </c>
      <c r="F40" s="3090" t="s">
        <v>358</v>
      </c>
      <c r="G40" s="3091">
        <f t="shared" si="1"/>
        <v>0</v>
      </c>
      <c r="H40" s="3092">
        <f t="shared" ca="1" si="5"/>
        <v>0</v>
      </c>
      <c r="I40" s="3094" t="s">
        <v>6803</v>
      </c>
      <c r="J40" s="3073"/>
      <c r="K40" s="3091">
        <f t="shared" si="3"/>
        <v>0</v>
      </c>
      <c r="L40" s="3072" t="s">
        <v>6799</v>
      </c>
      <c r="M40" s="3094" t="s">
        <v>6803</v>
      </c>
      <c r="N40" s="3073"/>
      <c r="O40" s="3100"/>
      <c r="P40" s="3101"/>
      <c r="Q40" s="3101"/>
      <c r="R40" s="3101"/>
      <c r="S40" s="3102" t="s">
        <v>295</v>
      </c>
      <c r="T40" s="3102" t="s">
        <v>213</v>
      </c>
      <c r="U40" s="3103"/>
      <c r="V40" s="3103" t="s">
        <v>295</v>
      </c>
      <c r="W40" s="3103" t="s">
        <v>6797</v>
      </c>
      <c r="X40" s="3103" t="s">
        <v>6800</v>
      </c>
      <c r="Y40" s="3104" t="s">
        <v>164</v>
      </c>
    </row>
    <row r="41" spans="1:25" ht="39" hidden="1">
      <c r="A41" s="1304"/>
      <c r="B41" s="643">
        <v>1122</v>
      </c>
      <c r="C41" s="643" t="s">
        <v>365</v>
      </c>
      <c r="D41" s="3088">
        <v>2</v>
      </c>
      <c r="E41" s="3089" t="str">
        <f t="shared" si="0"/>
        <v>应收账款</v>
      </c>
      <c r="F41" s="3090" t="s">
        <v>366</v>
      </c>
      <c r="G41" s="3091">
        <f t="shared" si="1"/>
        <v>0</v>
      </c>
      <c r="H41" s="3092">
        <f t="shared" ca="1" si="5"/>
        <v>0</v>
      </c>
      <c r="I41" s="3094" t="s">
        <v>6803</v>
      </c>
      <c r="J41" s="3073"/>
      <c r="K41" s="3091">
        <f t="shared" ref="K41:K72" si="6">IF(ISERROR(VLOOKUP($B41,Sheet_Trialbal,10,0)),"        ----",VLOOKUP($B41,Sheet_Trialbal,10,0))</f>
        <v>0</v>
      </c>
      <c r="L41" s="3072" t="s">
        <v>6799</v>
      </c>
      <c r="M41" s="3094" t="s">
        <v>6803</v>
      </c>
      <c r="N41" s="3073"/>
      <c r="O41" s="3100"/>
      <c r="P41" s="3101"/>
      <c r="Q41" s="3101"/>
      <c r="R41" s="3101"/>
      <c r="S41" s="3102" t="s">
        <v>295</v>
      </c>
      <c r="T41" s="3102" t="s">
        <v>213</v>
      </c>
      <c r="U41" s="3103">
        <v>1122</v>
      </c>
      <c r="V41" s="3103" t="s">
        <v>295</v>
      </c>
      <c r="W41" s="3103" t="s">
        <v>6797</v>
      </c>
      <c r="X41" s="3103" t="s">
        <v>6800</v>
      </c>
      <c r="Y41" s="3104" t="s">
        <v>164</v>
      </c>
    </row>
    <row r="42" spans="1:25" ht="26" hidden="1">
      <c r="A42" s="1304"/>
      <c r="B42" s="643">
        <v>1122</v>
      </c>
      <c r="C42" s="643" t="s">
        <v>372</v>
      </c>
      <c r="D42" s="3088">
        <v>2</v>
      </c>
      <c r="E42" s="3089" t="str">
        <f t="shared" si="0"/>
        <v>应收账款</v>
      </c>
      <c r="F42" s="3090" t="s">
        <v>373</v>
      </c>
      <c r="G42" s="3091">
        <f t="shared" si="1"/>
        <v>0</v>
      </c>
      <c r="H42" s="3092">
        <f t="shared" ca="1" si="5"/>
        <v>0</v>
      </c>
      <c r="I42" s="3094" t="s">
        <v>6803</v>
      </c>
      <c r="J42" s="3073"/>
      <c r="K42" s="3091">
        <f t="shared" si="6"/>
        <v>0</v>
      </c>
      <c r="L42" s="3072" t="s">
        <v>6799</v>
      </c>
      <c r="M42" s="3094" t="s">
        <v>6803</v>
      </c>
      <c r="N42" s="3073"/>
      <c r="O42" s="3100"/>
      <c r="P42" s="3101"/>
      <c r="Q42" s="3101"/>
      <c r="R42" s="3101"/>
      <c r="S42" s="3102" t="s">
        <v>295</v>
      </c>
      <c r="T42" s="3102" t="s">
        <v>213</v>
      </c>
      <c r="U42" s="3103">
        <v>1122</v>
      </c>
      <c r="V42" s="3103" t="s">
        <v>295</v>
      </c>
      <c r="W42" s="3103" t="s">
        <v>6797</v>
      </c>
      <c r="X42" s="3103" t="s">
        <v>6800</v>
      </c>
      <c r="Y42" s="3104" t="s">
        <v>164</v>
      </c>
    </row>
    <row r="43" spans="1:25" ht="39" hidden="1">
      <c r="A43" s="1304"/>
      <c r="B43" s="643">
        <v>1122</v>
      </c>
      <c r="C43" s="643" t="s">
        <v>379</v>
      </c>
      <c r="D43" s="3088">
        <v>2</v>
      </c>
      <c r="E43" s="3089" t="str">
        <f t="shared" si="0"/>
        <v>应收账款</v>
      </c>
      <c r="F43" s="3090" t="s">
        <v>380</v>
      </c>
      <c r="G43" s="3091">
        <f t="shared" si="1"/>
        <v>0</v>
      </c>
      <c r="H43" s="3092">
        <f t="shared" ca="1" si="5"/>
        <v>0</v>
      </c>
      <c r="I43" s="3094" t="s">
        <v>6803</v>
      </c>
      <c r="J43" s="3073"/>
      <c r="K43" s="3091">
        <f t="shared" si="6"/>
        <v>0</v>
      </c>
      <c r="L43" s="3072" t="s">
        <v>6799</v>
      </c>
      <c r="M43" s="3094" t="s">
        <v>6803</v>
      </c>
      <c r="N43" s="3073"/>
      <c r="O43" s="3100"/>
      <c r="P43" s="3101"/>
      <c r="Q43" s="3101"/>
      <c r="R43" s="3101"/>
      <c r="S43" s="3102" t="s">
        <v>295</v>
      </c>
      <c r="T43" s="3102" t="s">
        <v>213</v>
      </c>
      <c r="U43" s="3103">
        <v>1122</v>
      </c>
      <c r="V43" s="3103" t="s">
        <v>295</v>
      </c>
      <c r="W43" s="3103" t="s">
        <v>6797</v>
      </c>
      <c r="X43" s="3103" t="s">
        <v>6800</v>
      </c>
      <c r="Y43" s="3104" t="s">
        <v>164</v>
      </c>
    </row>
    <row r="44" spans="1:25" ht="17" hidden="1">
      <c r="A44" s="1304"/>
      <c r="B44" s="643">
        <v>1122</v>
      </c>
      <c r="C44" s="643" t="s">
        <v>419</v>
      </c>
      <c r="D44" s="3088">
        <v>2</v>
      </c>
      <c r="E44" s="3089" t="str">
        <f t="shared" si="0"/>
        <v>应收账款</v>
      </c>
      <c r="F44" s="3090" t="s">
        <v>420</v>
      </c>
      <c r="G44" s="3091">
        <f t="shared" si="1"/>
        <v>0</v>
      </c>
      <c r="H44" s="3092">
        <f t="shared" ca="1" si="5"/>
        <v>0</v>
      </c>
      <c r="I44" s="3094" t="s">
        <v>6803</v>
      </c>
      <c r="J44" s="3073"/>
      <c r="K44" s="3091">
        <f t="shared" si="6"/>
        <v>0</v>
      </c>
      <c r="L44" s="3072" t="s">
        <v>6799</v>
      </c>
      <c r="M44" s="3094" t="s">
        <v>6803</v>
      </c>
      <c r="N44" s="3073"/>
      <c r="O44" s="3100"/>
      <c r="P44" s="3101"/>
      <c r="Q44" s="3101"/>
      <c r="R44" s="3101"/>
      <c r="S44" s="3102" t="s">
        <v>295</v>
      </c>
      <c r="T44" s="3102" t="s">
        <v>213</v>
      </c>
      <c r="U44" s="3103">
        <v>1122</v>
      </c>
      <c r="V44" s="3103" t="s">
        <v>295</v>
      </c>
      <c r="W44" s="3103" t="s">
        <v>6797</v>
      </c>
      <c r="X44" s="3103" t="s">
        <v>213</v>
      </c>
      <c r="Y44" s="3104" t="s">
        <v>164</v>
      </c>
    </row>
    <row r="45" spans="1:25" ht="26" hidden="1">
      <c r="A45" s="1304"/>
      <c r="B45" s="643">
        <v>1122</v>
      </c>
      <c r="C45" s="643" t="s">
        <v>425</v>
      </c>
      <c r="D45" s="3088">
        <v>2</v>
      </c>
      <c r="E45" s="3089" t="str">
        <f t="shared" si="0"/>
        <v>应收账款</v>
      </c>
      <c r="F45" s="3090" t="s">
        <v>426</v>
      </c>
      <c r="G45" s="3091">
        <f t="shared" si="1"/>
        <v>0</v>
      </c>
      <c r="H45" s="3092">
        <f t="shared" ca="1" si="5"/>
        <v>0</v>
      </c>
      <c r="I45" s="3094" t="s">
        <v>6803</v>
      </c>
      <c r="J45" s="3073"/>
      <c r="K45" s="3091">
        <f t="shared" si="6"/>
        <v>0</v>
      </c>
      <c r="L45" s="3072">
        <f ca="1">INDIRECT("Notes!CheckB"&amp;$C45)</f>
        <v>0</v>
      </c>
      <c r="M45" s="3094" t="s">
        <v>6803</v>
      </c>
      <c r="N45" s="3073"/>
      <c r="O45" s="3100"/>
      <c r="P45" s="3101"/>
      <c r="Q45" s="3101"/>
      <c r="R45" s="3101"/>
      <c r="S45" s="3102" t="s">
        <v>295</v>
      </c>
      <c r="T45" s="3102" t="s">
        <v>213</v>
      </c>
      <c r="U45" s="3103">
        <v>1122</v>
      </c>
      <c r="V45" s="3103" t="s">
        <v>295</v>
      </c>
      <c r="W45" s="3103" t="s">
        <v>6797</v>
      </c>
      <c r="X45" s="3103" t="s">
        <v>213</v>
      </c>
      <c r="Y45" s="3104" t="s">
        <v>164</v>
      </c>
    </row>
    <row r="46" spans="1:25" ht="17" hidden="1">
      <c r="A46" s="1304"/>
      <c r="B46" s="643">
        <v>1122</v>
      </c>
      <c r="C46" s="643" t="s">
        <v>432</v>
      </c>
      <c r="D46" s="3088">
        <v>2</v>
      </c>
      <c r="E46" s="3089" t="str">
        <f t="shared" si="0"/>
        <v>应收账款</v>
      </c>
      <c r="F46" s="3090" t="s">
        <v>433</v>
      </c>
      <c r="G46" s="3091">
        <f t="shared" si="1"/>
        <v>0</v>
      </c>
      <c r="H46" s="3092">
        <f t="shared" ca="1" si="5"/>
        <v>0</v>
      </c>
      <c r="I46" s="3094" t="s">
        <v>6803</v>
      </c>
      <c r="J46" s="3073"/>
      <c r="K46" s="3091">
        <f t="shared" si="6"/>
        <v>0</v>
      </c>
      <c r="L46" s="3072">
        <f ca="1">INDIRECT("Notes!CheckB"&amp;$C46)</f>
        <v>0</v>
      </c>
      <c r="M46" s="3094" t="s">
        <v>6803</v>
      </c>
      <c r="N46" s="3073"/>
      <c r="O46" s="3100"/>
      <c r="P46" s="3101"/>
      <c r="Q46" s="3101"/>
      <c r="R46" s="3101"/>
      <c r="S46" s="3102" t="s">
        <v>295</v>
      </c>
      <c r="T46" s="3102" t="s">
        <v>213</v>
      </c>
      <c r="U46" s="3103">
        <v>1122</v>
      </c>
      <c r="V46" s="3103" t="s">
        <v>295</v>
      </c>
      <c r="W46" s="3103" t="s">
        <v>6797</v>
      </c>
      <c r="X46" s="3103" t="s">
        <v>213</v>
      </c>
      <c r="Y46" s="3104" t="s">
        <v>164</v>
      </c>
    </row>
    <row r="47" spans="1:25" ht="17">
      <c r="A47" s="1304"/>
      <c r="B47" s="643">
        <v>1124</v>
      </c>
      <c r="C47" s="643" t="s">
        <v>446</v>
      </c>
      <c r="D47" s="3088">
        <v>1</v>
      </c>
      <c r="E47" s="3089" t="str">
        <f t="shared" si="0"/>
        <v>应收款项融资</v>
      </c>
      <c r="F47" s="3090" t="s">
        <v>447</v>
      </c>
      <c r="G47" s="3091">
        <f t="shared" si="1"/>
        <v>0</v>
      </c>
      <c r="H47" s="3092">
        <f t="shared" ca="1" si="5"/>
        <v>0</v>
      </c>
      <c r="I47" s="3094">
        <f ca="1">IF(AND(LEN(G47)&gt;0,LEN(H47)&gt;0),ROUND(SUM(G47)-SUM(H47),2),"")</f>
        <v>0</v>
      </c>
      <c r="J47" s="3073" t="str">
        <f ca="1">IF(ISNA(I47),"N/A",IF(I47=0,"√","？"))</f>
        <v>√</v>
      </c>
      <c r="K47" s="3091">
        <f t="shared" si="6"/>
        <v>0</v>
      </c>
      <c r="L47" s="3072">
        <f ca="1">INDIRECT("Notes!CheckB"&amp;$C47)</f>
        <v>0</v>
      </c>
      <c r="M47" s="3094">
        <f ca="1">IF(AND(LEN(K47)&gt;0,LEN(L47)&gt;0),ROUND(SUM(K47)-SUM(L47),2),"")</f>
        <v>0</v>
      </c>
      <c r="N47" s="3073" t="str">
        <f ca="1">IF(ISNA(M47),"N/A",IF(M47=0,"√","？"))</f>
        <v>√</v>
      </c>
      <c r="O47" s="3100"/>
      <c r="P47" s="3101"/>
      <c r="Q47" s="3101"/>
      <c r="R47" s="3101"/>
      <c r="S47" s="3102" t="s">
        <v>295</v>
      </c>
      <c r="T47" s="3102" t="s">
        <v>213</v>
      </c>
      <c r="U47" s="3103">
        <v>1124</v>
      </c>
      <c r="V47" s="3103" t="s">
        <v>295</v>
      </c>
      <c r="W47" s="3103" t="s">
        <v>145</v>
      </c>
      <c r="X47" s="3103" t="s">
        <v>6800</v>
      </c>
      <c r="Y47" s="3104" t="s">
        <v>119</v>
      </c>
    </row>
    <row r="48" spans="1:25" ht="39" hidden="1">
      <c r="A48" s="1304"/>
      <c r="B48" s="643">
        <v>1124</v>
      </c>
      <c r="C48" s="643" t="s">
        <v>453</v>
      </c>
      <c r="D48" s="3088">
        <v>2</v>
      </c>
      <c r="E48" s="3089" t="str">
        <f t="shared" si="0"/>
        <v>应收款项融资</v>
      </c>
      <c r="F48" s="3090" t="s">
        <v>6376</v>
      </c>
      <c r="G48" s="3091">
        <f t="shared" si="1"/>
        <v>0</v>
      </c>
      <c r="H48" s="3092">
        <f t="shared" ca="1" si="5"/>
        <v>0</v>
      </c>
      <c r="I48" s="3094" t="s">
        <v>6803</v>
      </c>
      <c r="J48" s="3073"/>
      <c r="K48" s="3091">
        <f t="shared" si="6"/>
        <v>0</v>
      </c>
      <c r="L48" s="3072" t="s">
        <v>6799</v>
      </c>
      <c r="M48" s="3094" t="s">
        <v>6803</v>
      </c>
      <c r="N48" s="3073"/>
      <c r="O48" s="3100"/>
      <c r="P48" s="3101"/>
      <c r="Q48" s="3101"/>
      <c r="R48" s="3101"/>
      <c r="S48" s="3102" t="s">
        <v>295</v>
      </c>
      <c r="T48" s="3102" t="s">
        <v>213</v>
      </c>
      <c r="U48" s="3103">
        <v>1124</v>
      </c>
      <c r="V48" s="3103" t="s">
        <v>295</v>
      </c>
      <c r="W48" s="3103" t="s">
        <v>145</v>
      </c>
      <c r="X48" s="3103" t="s">
        <v>6800</v>
      </c>
      <c r="Y48" s="3104" t="s">
        <v>119</v>
      </c>
    </row>
    <row r="49" spans="1:25" ht="39" hidden="1">
      <c r="A49" s="1304"/>
      <c r="B49" s="643">
        <v>1124</v>
      </c>
      <c r="C49" s="643" t="s">
        <v>456</v>
      </c>
      <c r="D49" s="3088">
        <v>2</v>
      </c>
      <c r="E49" s="3089" t="str">
        <f t="shared" si="0"/>
        <v>应收款项融资</v>
      </c>
      <c r="F49" s="3090" t="s">
        <v>6377</v>
      </c>
      <c r="G49" s="3091">
        <f t="shared" si="1"/>
        <v>0</v>
      </c>
      <c r="H49" s="3092">
        <f t="shared" ca="1" si="5"/>
        <v>0</v>
      </c>
      <c r="I49" s="3094" t="s">
        <v>6803</v>
      </c>
      <c r="J49" s="3073"/>
      <c r="K49" s="3091">
        <f t="shared" si="6"/>
        <v>0</v>
      </c>
      <c r="L49" s="3072" t="s">
        <v>6799</v>
      </c>
      <c r="M49" s="3094" t="s">
        <v>6803</v>
      </c>
      <c r="N49" s="3073"/>
      <c r="O49" s="3100"/>
      <c r="P49" s="3101"/>
      <c r="Q49" s="3101"/>
      <c r="R49" s="3101"/>
      <c r="S49" s="3102" t="s">
        <v>295</v>
      </c>
      <c r="T49" s="3102" t="s">
        <v>213</v>
      </c>
      <c r="U49" s="3103"/>
      <c r="V49" s="3103" t="s">
        <v>295</v>
      </c>
      <c r="W49" s="3103" t="s">
        <v>145</v>
      </c>
      <c r="X49" s="3103" t="s">
        <v>6800</v>
      </c>
      <c r="Y49" s="3104" t="s">
        <v>119</v>
      </c>
    </row>
    <row r="50" spans="1:25" ht="39" hidden="1">
      <c r="A50" s="1304"/>
      <c r="B50" s="643">
        <v>1124</v>
      </c>
      <c r="C50" s="643" t="s">
        <v>461</v>
      </c>
      <c r="D50" s="3088">
        <v>2</v>
      </c>
      <c r="E50" s="3089" t="str">
        <f t="shared" si="0"/>
        <v>应收款项融资</v>
      </c>
      <c r="F50" s="3090" t="s">
        <v>6378</v>
      </c>
      <c r="G50" s="3091">
        <f t="shared" si="1"/>
        <v>0</v>
      </c>
      <c r="H50" s="3092">
        <f t="shared" ca="1" si="5"/>
        <v>0</v>
      </c>
      <c r="I50" s="3094" t="s">
        <v>6803</v>
      </c>
      <c r="J50" s="3073"/>
      <c r="K50" s="3091">
        <f t="shared" si="6"/>
        <v>0</v>
      </c>
      <c r="L50" s="3072" t="s">
        <v>6799</v>
      </c>
      <c r="M50" s="3094" t="s">
        <v>6803</v>
      </c>
      <c r="N50" s="3073"/>
      <c r="O50" s="3100"/>
      <c r="P50" s="3101"/>
      <c r="Q50" s="3101"/>
      <c r="R50" s="3101"/>
      <c r="S50" s="3102" t="s">
        <v>295</v>
      </c>
      <c r="T50" s="3102" t="s">
        <v>213</v>
      </c>
      <c r="U50" s="3103"/>
      <c r="V50" s="3103" t="s">
        <v>295</v>
      </c>
      <c r="W50" s="3103" t="s">
        <v>145</v>
      </c>
      <c r="X50" s="3103" t="s">
        <v>6800</v>
      </c>
      <c r="Y50" s="3104" t="s">
        <v>119</v>
      </c>
    </row>
    <row r="51" spans="1:25" ht="39" hidden="1">
      <c r="A51" s="1304"/>
      <c r="B51" s="643">
        <v>1124</v>
      </c>
      <c r="C51" s="643" t="s">
        <v>466</v>
      </c>
      <c r="D51" s="3088">
        <v>2</v>
      </c>
      <c r="E51" s="3089" t="str">
        <f t="shared" si="0"/>
        <v>应收款项融资</v>
      </c>
      <c r="F51" s="3090" t="s">
        <v>6379</v>
      </c>
      <c r="G51" s="3091">
        <f t="shared" si="1"/>
        <v>0</v>
      </c>
      <c r="H51" s="3092">
        <f t="shared" ca="1" si="5"/>
        <v>0</v>
      </c>
      <c r="I51" s="3094" t="s">
        <v>6803</v>
      </c>
      <c r="J51" s="3073"/>
      <c r="K51" s="3091">
        <f t="shared" si="6"/>
        <v>0</v>
      </c>
      <c r="L51" s="3072">
        <f ca="1">INDIRECT("Notes!CheckB"&amp;$C51)</f>
        <v>0</v>
      </c>
      <c r="M51" s="3094" t="s">
        <v>6803</v>
      </c>
      <c r="N51" s="3073"/>
      <c r="O51" s="3100"/>
      <c r="P51" s="3101"/>
      <c r="Q51" s="3101"/>
      <c r="R51" s="3101"/>
      <c r="S51" s="3102" t="s">
        <v>295</v>
      </c>
      <c r="T51" s="3102" t="s">
        <v>213</v>
      </c>
      <c r="U51" s="3103"/>
      <c r="V51" s="3103" t="s">
        <v>295</v>
      </c>
      <c r="W51" s="3103" t="s">
        <v>145</v>
      </c>
      <c r="X51" s="3103" t="s">
        <v>213</v>
      </c>
      <c r="Y51" s="3104" t="s">
        <v>119</v>
      </c>
    </row>
    <row r="52" spans="1:25" ht="39" hidden="1">
      <c r="A52" s="1304"/>
      <c r="B52" s="643">
        <v>1124</v>
      </c>
      <c r="C52" s="643" t="s">
        <v>6372</v>
      </c>
      <c r="D52" s="3088">
        <v>2</v>
      </c>
      <c r="E52" s="3089" t="str">
        <f t="shared" si="0"/>
        <v>应收款项融资</v>
      </c>
      <c r="F52" s="3090" t="s">
        <v>6380</v>
      </c>
      <c r="G52" s="3091">
        <f t="shared" si="1"/>
        <v>0</v>
      </c>
      <c r="H52" s="3092">
        <f t="shared" ca="1" si="5"/>
        <v>0</v>
      </c>
      <c r="I52" s="3094" t="s">
        <v>6803</v>
      </c>
      <c r="J52" s="3073"/>
      <c r="K52" s="3091">
        <f t="shared" si="6"/>
        <v>0</v>
      </c>
      <c r="L52" s="3072" t="s">
        <v>6799</v>
      </c>
      <c r="M52" s="3094" t="s">
        <v>6803</v>
      </c>
      <c r="N52" s="3073"/>
      <c r="O52" s="3100"/>
      <c r="P52" s="3101"/>
      <c r="Q52" s="3101"/>
      <c r="R52" s="3101"/>
      <c r="S52" s="3102" t="s">
        <v>295</v>
      </c>
      <c r="T52" s="3102" t="s">
        <v>213</v>
      </c>
      <c r="U52" s="3103">
        <v>1124</v>
      </c>
      <c r="V52" s="3103" t="s">
        <v>295</v>
      </c>
      <c r="W52" s="3103" t="s">
        <v>145</v>
      </c>
      <c r="X52" s="3103" t="s">
        <v>6800</v>
      </c>
      <c r="Y52" s="3104" t="s">
        <v>119</v>
      </c>
    </row>
    <row r="53" spans="1:25" ht="39" hidden="1">
      <c r="A53" s="1304"/>
      <c r="B53" s="643">
        <v>1124</v>
      </c>
      <c r="C53" s="643" t="s">
        <v>6373</v>
      </c>
      <c r="D53" s="3088">
        <v>2</v>
      </c>
      <c r="E53" s="3089" t="str">
        <f t="shared" si="0"/>
        <v>应收款项融资</v>
      </c>
      <c r="F53" s="3090" t="s">
        <v>6381</v>
      </c>
      <c r="G53" s="3091">
        <f t="shared" si="1"/>
        <v>0</v>
      </c>
      <c r="H53" s="3092">
        <f t="shared" ca="1" si="5"/>
        <v>0</v>
      </c>
      <c r="I53" s="3094" t="s">
        <v>6803</v>
      </c>
      <c r="J53" s="3073"/>
      <c r="K53" s="3091">
        <f t="shared" si="6"/>
        <v>0</v>
      </c>
      <c r="L53" s="3072" t="s">
        <v>6799</v>
      </c>
      <c r="M53" s="3094" t="s">
        <v>6803</v>
      </c>
      <c r="N53" s="3073"/>
      <c r="O53" s="3100"/>
      <c r="P53" s="3101"/>
      <c r="Q53" s="3101"/>
      <c r="R53" s="3101"/>
      <c r="S53" s="3102" t="s">
        <v>295</v>
      </c>
      <c r="T53" s="3102" t="s">
        <v>213</v>
      </c>
      <c r="U53" s="3103"/>
      <c r="V53" s="3103" t="s">
        <v>295</v>
      </c>
      <c r="W53" s="3103" t="s">
        <v>145</v>
      </c>
      <c r="X53" s="3103" t="s">
        <v>6800</v>
      </c>
      <c r="Y53" s="3104" t="s">
        <v>119</v>
      </c>
    </row>
    <row r="54" spans="1:25" ht="39" hidden="1">
      <c r="A54" s="1304"/>
      <c r="B54" s="643">
        <v>1124</v>
      </c>
      <c r="C54" s="643" t="s">
        <v>6374</v>
      </c>
      <c r="D54" s="3088">
        <v>2</v>
      </c>
      <c r="E54" s="3089" t="str">
        <f t="shared" si="0"/>
        <v>应收款项融资</v>
      </c>
      <c r="F54" s="3090" t="s">
        <v>6382</v>
      </c>
      <c r="G54" s="3091">
        <f t="shared" si="1"/>
        <v>0</v>
      </c>
      <c r="H54" s="3092">
        <f t="shared" ca="1" si="5"/>
        <v>0</v>
      </c>
      <c r="I54" s="3094" t="s">
        <v>6803</v>
      </c>
      <c r="J54" s="3073"/>
      <c r="K54" s="3091">
        <f t="shared" si="6"/>
        <v>0</v>
      </c>
      <c r="L54" s="3072" t="s">
        <v>6799</v>
      </c>
      <c r="M54" s="3094" t="s">
        <v>6803</v>
      </c>
      <c r="N54" s="3073"/>
      <c r="O54" s="3100"/>
      <c r="P54" s="3101"/>
      <c r="Q54" s="3101"/>
      <c r="R54" s="3101"/>
      <c r="S54" s="3102" t="s">
        <v>295</v>
      </c>
      <c r="T54" s="3102" t="s">
        <v>213</v>
      </c>
      <c r="U54" s="3103"/>
      <c r="V54" s="3103" t="s">
        <v>295</v>
      </c>
      <c r="W54" s="3103" t="s">
        <v>145</v>
      </c>
      <c r="X54" s="3103" t="s">
        <v>6800</v>
      </c>
      <c r="Y54" s="3104" t="s">
        <v>119</v>
      </c>
    </row>
    <row r="55" spans="1:25" ht="39" hidden="1">
      <c r="A55" s="1304"/>
      <c r="B55" s="643">
        <v>1124</v>
      </c>
      <c r="C55" s="643" t="s">
        <v>6375</v>
      </c>
      <c r="D55" s="3088">
        <v>2</v>
      </c>
      <c r="E55" s="3089" t="str">
        <f t="shared" si="0"/>
        <v>应收款项融资</v>
      </c>
      <c r="F55" s="3090" t="s">
        <v>6383</v>
      </c>
      <c r="G55" s="3091">
        <f t="shared" si="1"/>
        <v>0</v>
      </c>
      <c r="H55" s="3092">
        <f t="shared" ca="1" si="5"/>
        <v>0</v>
      </c>
      <c r="I55" s="3094" t="s">
        <v>6803</v>
      </c>
      <c r="J55" s="3073"/>
      <c r="K55" s="3091">
        <f t="shared" si="6"/>
        <v>0</v>
      </c>
      <c r="L55" s="3072" t="s">
        <v>6799</v>
      </c>
      <c r="M55" s="3094" t="s">
        <v>6803</v>
      </c>
      <c r="N55" s="3073"/>
      <c r="O55" s="3100"/>
      <c r="P55" s="3101"/>
      <c r="Q55" s="3101"/>
      <c r="R55" s="3101"/>
      <c r="S55" s="3102" t="s">
        <v>295</v>
      </c>
      <c r="T55" s="3102" t="s">
        <v>213</v>
      </c>
      <c r="U55" s="3103"/>
      <c r="V55" s="3103" t="s">
        <v>295</v>
      </c>
      <c r="W55" s="3103" t="s">
        <v>145</v>
      </c>
      <c r="X55" s="3103" t="s">
        <v>213</v>
      </c>
      <c r="Y55" s="3104" t="s">
        <v>119</v>
      </c>
    </row>
    <row r="56" spans="1:25" ht="26" hidden="1">
      <c r="A56" s="1304"/>
      <c r="B56" s="643">
        <v>1124</v>
      </c>
      <c r="C56" s="643" t="s">
        <v>470</v>
      </c>
      <c r="D56" s="3088">
        <v>2</v>
      </c>
      <c r="E56" s="3089" t="str">
        <f t="shared" si="0"/>
        <v>应收款项融资</v>
      </c>
      <c r="F56" s="3090" t="s">
        <v>6384</v>
      </c>
      <c r="G56" s="3091">
        <f t="shared" si="1"/>
        <v>0</v>
      </c>
      <c r="H56" s="3092">
        <f t="shared" ca="1" si="5"/>
        <v>0</v>
      </c>
      <c r="I56" s="3094" t="s">
        <v>6803</v>
      </c>
      <c r="J56" s="3073"/>
      <c r="K56" s="3091">
        <f t="shared" si="6"/>
        <v>0</v>
      </c>
      <c r="L56" s="3072">
        <f ca="1">INDIRECT("Notes!CheckB"&amp;$C56)</f>
        <v>0</v>
      </c>
      <c r="M56" s="3094" t="s">
        <v>6803</v>
      </c>
      <c r="N56" s="3073"/>
      <c r="O56" s="3100"/>
      <c r="P56" s="3101"/>
      <c r="Q56" s="3101"/>
      <c r="R56" s="3101"/>
      <c r="S56" s="3102" t="s">
        <v>295</v>
      </c>
      <c r="T56" s="3102" t="s">
        <v>213</v>
      </c>
      <c r="U56" s="3103"/>
      <c r="V56" s="3103" t="s">
        <v>295</v>
      </c>
      <c r="W56" s="3103" t="s">
        <v>145</v>
      </c>
      <c r="X56" s="3103" t="s">
        <v>6800</v>
      </c>
      <c r="Y56" s="3104" t="s">
        <v>119</v>
      </c>
    </row>
    <row r="57" spans="1:25" ht="17">
      <c r="A57" s="1304"/>
      <c r="B57" s="643">
        <v>1125</v>
      </c>
      <c r="C57" s="643" t="s">
        <v>473</v>
      </c>
      <c r="D57" s="3088">
        <v>1</v>
      </c>
      <c r="E57" s="3089" t="str">
        <f t="shared" si="0"/>
        <v>预付款项</v>
      </c>
      <c r="F57" s="3090" t="s">
        <v>474</v>
      </c>
      <c r="G57" s="3091">
        <f t="shared" si="1"/>
        <v>0</v>
      </c>
      <c r="H57" s="3092">
        <f t="shared" ca="1" si="5"/>
        <v>0</v>
      </c>
      <c r="I57" s="3094">
        <f ca="1">IF(AND(LEN(G57)&gt;0,LEN(H57)&gt;0),ROUND(SUM(G57)-SUM(H57),2),"")</f>
        <v>0</v>
      </c>
      <c r="J57" s="3073" t="str">
        <f ca="1">IF(ISNA(I57),"N/A",IF(I57=0,"√","？"))</f>
        <v>√</v>
      </c>
      <c r="K57" s="3091">
        <f t="shared" si="6"/>
        <v>0</v>
      </c>
      <c r="L57" s="3072">
        <f ca="1">INDIRECT("Notes!CheckB"&amp;$C57)</f>
        <v>0</v>
      </c>
      <c r="M57" s="3094">
        <f ca="1">IF(AND(LEN(K57)&gt;0,LEN(L57)&gt;0),ROUND(SUM(K57)-SUM(L57),2),"")</f>
        <v>0</v>
      </c>
      <c r="N57" s="3073" t="str">
        <f ca="1">IF(ISNA(M57),"N/A",IF(M57=0,"√","？"))</f>
        <v>√</v>
      </c>
      <c r="O57" s="3100"/>
      <c r="P57" s="3101"/>
      <c r="Q57" s="3101"/>
      <c r="R57" s="3101"/>
      <c r="S57" s="3102" t="s">
        <v>295</v>
      </c>
      <c r="T57" s="3102" t="s">
        <v>213</v>
      </c>
      <c r="U57" s="3103"/>
      <c r="V57" s="3103" t="s">
        <v>295</v>
      </c>
      <c r="W57" s="3103" t="s">
        <v>6797</v>
      </c>
      <c r="X57" s="3103" t="s">
        <v>6798</v>
      </c>
      <c r="Y57" s="3104" t="s">
        <v>164</v>
      </c>
    </row>
    <row r="58" spans="1:25" ht="39" hidden="1">
      <c r="A58" s="1304"/>
      <c r="B58" s="643">
        <v>1125</v>
      </c>
      <c r="C58" s="643" t="s">
        <v>478</v>
      </c>
      <c r="D58" s="3088">
        <v>2</v>
      </c>
      <c r="E58" s="3089" t="str">
        <f t="shared" si="0"/>
        <v>预付款项</v>
      </c>
      <c r="F58" s="3090" t="s">
        <v>479</v>
      </c>
      <c r="G58" s="3091">
        <f t="shared" si="1"/>
        <v>0</v>
      </c>
      <c r="H58" s="3092">
        <f t="shared" ca="1" si="5"/>
        <v>0</v>
      </c>
      <c r="I58" s="3094" t="s">
        <v>6803</v>
      </c>
      <c r="J58" s="3073"/>
      <c r="K58" s="3091">
        <f t="shared" si="6"/>
        <v>0</v>
      </c>
      <c r="L58" s="3072" t="s">
        <v>6799</v>
      </c>
      <c r="M58" s="3094" t="s">
        <v>6803</v>
      </c>
      <c r="N58" s="3073"/>
      <c r="O58" s="3100"/>
      <c r="P58" s="3101"/>
      <c r="Q58" s="3101"/>
      <c r="R58" s="3101"/>
      <c r="S58" s="3102" t="s">
        <v>295</v>
      </c>
      <c r="T58" s="3102" t="s">
        <v>213</v>
      </c>
      <c r="U58" s="3103"/>
      <c r="V58" s="3103" t="s">
        <v>295</v>
      </c>
      <c r="W58" s="3103" t="s">
        <v>6797</v>
      </c>
      <c r="X58" s="3103" t="s">
        <v>6800</v>
      </c>
      <c r="Y58" s="3104" t="s">
        <v>164</v>
      </c>
    </row>
    <row r="59" spans="1:25" ht="26" hidden="1">
      <c r="A59" s="1304"/>
      <c r="B59" s="643">
        <v>1125</v>
      </c>
      <c r="C59" s="643" t="s">
        <v>482</v>
      </c>
      <c r="D59" s="3088">
        <v>2</v>
      </c>
      <c r="E59" s="3089" t="str">
        <f t="shared" si="0"/>
        <v>预付款项</v>
      </c>
      <c r="F59" s="3090" t="s">
        <v>483</v>
      </c>
      <c r="G59" s="3091">
        <f t="shared" si="1"/>
        <v>0</v>
      </c>
      <c r="H59" s="3092">
        <f t="shared" ca="1" si="5"/>
        <v>0</v>
      </c>
      <c r="I59" s="3094" t="s">
        <v>6803</v>
      </c>
      <c r="J59" s="3073"/>
      <c r="K59" s="3091">
        <f t="shared" si="6"/>
        <v>0</v>
      </c>
      <c r="L59" s="3072" t="s">
        <v>6799</v>
      </c>
      <c r="M59" s="3094" t="s">
        <v>6803</v>
      </c>
      <c r="N59" s="3073"/>
      <c r="O59" s="3100"/>
      <c r="P59" s="3101"/>
      <c r="Q59" s="3101"/>
      <c r="R59" s="3101"/>
      <c r="S59" s="3102" t="s">
        <v>295</v>
      </c>
      <c r="T59" s="3102" t="s">
        <v>213</v>
      </c>
      <c r="U59" s="3103"/>
      <c r="V59" s="3103" t="s">
        <v>295</v>
      </c>
      <c r="W59" s="3103" t="s">
        <v>6797</v>
      </c>
      <c r="X59" s="3103" t="s">
        <v>213</v>
      </c>
      <c r="Y59" s="3104" t="s">
        <v>164</v>
      </c>
    </row>
    <row r="60" spans="1:25" ht="17">
      <c r="A60" s="1304"/>
      <c r="B60" s="643">
        <v>1125</v>
      </c>
      <c r="C60" s="643" t="s">
        <v>497</v>
      </c>
      <c r="D60" s="3088">
        <v>1</v>
      </c>
      <c r="E60" s="3089" t="str">
        <f t="shared" si="0"/>
        <v>预付款项</v>
      </c>
      <c r="F60" s="3090" t="s">
        <v>498</v>
      </c>
      <c r="G60" s="3091">
        <f t="shared" si="1"/>
        <v>0</v>
      </c>
      <c r="H60" s="3092">
        <f t="shared" ca="1" si="5"/>
        <v>0</v>
      </c>
      <c r="I60" s="3094">
        <f ca="1">IF(AND(LEN(G60)&gt;0,LEN(H60)&gt;0),ROUND(SUM(G60)-SUM(H60),2),"")</f>
        <v>0</v>
      </c>
      <c r="J60" s="3073" t="str">
        <f ca="1">IF(ISNA(I60),"N/A",IF(I60=0,"√","？"))</f>
        <v>√</v>
      </c>
      <c r="K60" s="3091">
        <f t="shared" si="6"/>
        <v>0</v>
      </c>
      <c r="L60" s="3072">
        <f ca="1">INDIRECT("Notes!CheckB"&amp;$C60)</f>
        <v>0</v>
      </c>
      <c r="M60" s="3094">
        <f ca="1">IF(AND(LEN(K60)&gt;0,LEN(L60)&gt;0),ROUND(SUM(K60)-SUM(L60),2),"")</f>
        <v>0</v>
      </c>
      <c r="N60" s="3073" t="str">
        <f ca="1">IF(ISNA(M60),"N/A",IF(M60=0,"√","？"))</f>
        <v>√</v>
      </c>
      <c r="O60" s="3100"/>
      <c r="P60" s="3101"/>
      <c r="Q60" s="3101"/>
      <c r="R60" s="3101"/>
      <c r="S60" s="3102" t="s">
        <v>295</v>
      </c>
      <c r="T60" s="3102" t="s">
        <v>213</v>
      </c>
      <c r="U60" s="3103"/>
      <c r="V60" s="3103" t="s">
        <v>295</v>
      </c>
      <c r="W60" s="3103" t="s">
        <v>6797</v>
      </c>
      <c r="X60" s="3103" t="s">
        <v>213</v>
      </c>
      <c r="Y60" s="3104" t="s">
        <v>164</v>
      </c>
    </row>
    <row r="61" spans="1:25" ht="26" hidden="1">
      <c r="A61" s="1304"/>
      <c r="B61" s="643">
        <v>1125</v>
      </c>
      <c r="C61" s="643" t="s">
        <v>492</v>
      </c>
      <c r="D61" s="3088">
        <v>2</v>
      </c>
      <c r="E61" s="3089" t="str">
        <f t="shared" si="0"/>
        <v>预付款项</v>
      </c>
      <c r="F61" s="3090" t="s">
        <v>493</v>
      </c>
      <c r="G61" s="3091">
        <f t="shared" si="1"/>
        <v>0</v>
      </c>
      <c r="H61" s="3092">
        <f t="shared" ca="1" si="5"/>
        <v>0</v>
      </c>
      <c r="I61" s="3094" t="s">
        <v>6803</v>
      </c>
      <c r="J61" s="3073"/>
      <c r="K61" s="3091">
        <f t="shared" si="6"/>
        <v>0</v>
      </c>
      <c r="L61" s="3072">
        <f ca="1">INDIRECT("Notes!CheckB"&amp;$C61)</f>
        <v>0</v>
      </c>
      <c r="M61" s="3094" t="s">
        <v>6803</v>
      </c>
      <c r="N61" s="3073"/>
      <c r="O61" s="3100"/>
      <c r="P61" s="3101"/>
      <c r="Q61" s="3101"/>
      <c r="R61" s="3101"/>
      <c r="S61" s="3102" t="s">
        <v>295</v>
      </c>
      <c r="T61" s="3102" t="s">
        <v>213</v>
      </c>
      <c r="U61" s="3103"/>
      <c r="V61" s="3103" t="s">
        <v>295</v>
      </c>
      <c r="W61" s="3103" t="s">
        <v>6797</v>
      </c>
      <c r="X61" s="3103" t="s">
        <v>213</v>
      </c>
      <c r="Y61" s="3104" t="s">
        <v>164</v>
      </c>
    </row>
    <row r="62" spans="1:25" ht="17" hidden="1">
      <c r="A62" s="1304"/>
      <c r="B62" s="643">
        <v>1125</v>
      </c>
      <c r="C62" s="643" t="s">
        <v>505</v>
      </c>
      <c r="D62" s="3088">
        <v>2</v>
      </c>
      <c r="E62" s="3089" t="str">
        <f t="shared" si="0"/>
        <v>预付款项</v>
      </c>
      <c r="F62" s="3090" t="s">
        <v>506</v>
      </c>
      <c r="G62" s="3091">
        <f t="shared" si="1"/>
        <v>0</v>
      </c>
      <c r="H62" s="3092">
        <f t="shared" ca="1" si="5"/>
        <v>0</v>
      </c>
      <c r="I62" s="3094" t="s">
        <v>6803</v>
      </c>
      <c r="J62" s="3073"/>
      <c r="K62" s="3091">
        <f t="shared" si="6"/>
        <v>0</v>
      </c>
      <c r="L62" s="3072">
        <f ca="1">INDIRECT("Notes!CheckB"&amp;$C62)</f>
        <v>0</v>
      </c>
      <c r="M62" s="3094" t="s">
        <v>6803</v>
      </c>
      <c r="N62" s="3073"/>
      <c r="O62" s="3100"/>
      <c r="P62" s="3101"/>
      <c r="Q62" s="3101"/>
      <c r="R62" s="3101"/>
      <c r="S62" s="3102" t="s">
        <v>295</v>
      </c>
      <c r="T62" s="3102" t="s">
        <v>213</v>
      </c>
      <c r="U62" s="3103"/>
      <c r="V62" s="3103" t="s">
        <v>295</v>
      </c>
      <c r="W62" s="3103" t="s">
        <v>6797</v>
      </c>
      <c r="X62" s="3103" t="s">
        <v>213</v>
      </c>
      <c r="Y62" s="3104" t="s">
        <v>164</v>
      </c>
    </row>
    <row r="63" spans="1:25" ht="26">
      <c r="A63" s="1304"/>
      <c r="B63" s="643">
        <v>1220</v>
      </c>
      <c r="C63" s="643" t="s">
        <v>510</v>
      </c>
      <c r="D63" s="3088">
        <v>1</v>
      </c>
      <c r="E63" s="3089" t="str">
        <f t="shared" si="0"/>
        <v>其他应收款（报表项目）</v>
      </c>
      <c r="F63" s="3090" t="s">
        <v>511</v>
      </c>
      <c r="G63" s="3091">
        <f t="shared" si="1"/>
        <v>0</v>
      </c>
      <c r="H63" s="3092">
        <f t="shared" ca="1" si="5"/>
        <v>0</v>
      </c>
      <c r="I63" s="3094">
        <f ca="1">IF(AND(LEN(G63)&gt;0,LEN(H63)&gt;0),ROUND(SUM(G63)-SUM(H63),2),"")</f>
        <v>0</v>
      </c>
      <c r="J63" s="3073" t="str">
        <f ca="1">IF(ISNA(I63),"N/A",IF(I63=0,"√","？"))</f>
        <v>√</v>
      </c>
      <c r="K63" s="3091">
        <f t="shared" si="6"/>
        <v>0</v>
      </c>
      <c r="L63" s="3072">
        <f ca="1">INDIRECT("Notes!CheckB"&amp;$C63)</f>
        <v>0</v>
      </c>
      <c r="M63" s="3094">
        <f ca="1">IF(AND(LEN(K63)&gt;0,LEN(L63)&gt;0),ROUND(SUM(K63)-SUM(L63),2),"")</f>
        <v>0</v>
      </c>
      <c r="N63" s="3073" t="str">
        <f ca="1">IF(ISNA(M63),"N/A",IF(M63=0,"√","？"))</f>
        <v>√</v>
      </c>
      <c r="O63" s="3100"/>
      <c r="P63" s="3101"/>
      <c r="Q63" s="3101"/>
      <c r="R63" s="3101"/>
      <c r="S63" s="3102" t="s">
        <v>295</v>
      </c>
      <c r="T63" s="3102" t="s">
        <v>213</v>
      </c>
      <c r="U63" s="3103">
        <v>1220</v>
      </c>
      <c r="V63" s="3103" t="s">
        <v>295</v>
      </c>
      <c r="W63" s="3103" t="s">
        <v>6797</v>
      </c>
      <c r="X63" s="3103" t="s">
        <v>6798</v>
      </c>
      <c r="Y63" s="3104" t="s">
        <v>164</v>
      </c>
    </row>
    <row r="64" spans="1:25" ht="17">
      <c r="A64" s="1304"/>
      <c r="B64" s="643">
        <v>1132</v>
      </c>
      <c r="C64" s="643" t="s">
        <v>516</v>
      </c>
      <c r="D64" s="3088">
        <v>1</v>
      </c>
      <c r="E64" s="3089" t="str">
        <f t="shared" si="0"/>
        <v>应收利息</v>
      </c>
      <c r="F64" s="3090" t="s">
        <v>517</v>
      </c>
      <c r="G64" s="3091">
        <f t="shared" si="1"/>
        <v>0</v>
      </c>
      <c r="H64" s="3092">
        <f t="shared" ca="1" si="5"/>
        <v>0</v>
      </c>
      <c r="I64" s="3094">
        <f ca="1">IF(AND(LEN(G64)&gt;0,LEN(H64)&gt;0),ROUND(SUM(G64)-SUM(H64),2),"")</f>
        <v>0</v>
      </c>
      <c r="J64" s="3073" t="str">
        <f ca="1">IF(ISNA(I64),"N/A",IF(I64=0,"√","？"))</f>
        <v>√</v>
      </c>
      <c r="K64" s="3091">
        <f t="shared" si="6"/>
        <v>0</v>
      </c>
      <c r="L64" s="3072">
        <f ca="1">INDIRECT("Notes!CheckB"&amp;$C64)</f>
        <v>0</v>
      </c>
      <c r="M64" s="3094">
        <f ca="1">IF(AND(LEN(K64)&gt;0,LEN(L64)&gt;0),ROUND(SUM(K64)-SUM(L64),2),"")</f>
        <v>0</v>
      </c>
      <c r="N64" s="3073" t="str">
        <f ca="1">IF(ISNA(M64),"N/A",IF(M64=0,"√","？"))</f>
        <v>√</v>
      </c>
      <c r="O64" s="3100"/>
      <c r="P64" s="3101"/>
      <c r="Q64" s="3101"/>
      <c r="R64" s="3101"/>
      <c r="S64" s="3102" t="s">
        <v>295</v>
      </c>
      <c r="T64" s="3102" t="s">
        <v>213</v>
      </c>
      <c r="U64" s="3103"/>
      <c r="V64" s="3103" t="s">
        <v>295</v>
      </c>
      <c r="W64" s="3103" t="s">
        <v>6797</v>
      </c>
      <c r="X64" s="3103" t="s">
        <v>6798</v>
      </c>
      <c r="Y64" s="3104" t="s">
        <v>164</v>
      </c>
    </row>
    <row r="65" spans="1:25" ht="26" hidden="1">
      <c r="A65" s="1304"/>
      <c r="B65" s="643">
        <v>1132</v>
      </c>
      <c r="C65" s="643" t="s">
        <v>522</v>
      </c>
      <c r="D65" s="3088">
        <v>2</v>
      </c>
      <c r="E65" s="3089" t="str">
        <f t="shared" si="0"/>
        <v>应收利息</v>
      </c>
      <c r="F65" s="3090" t="s">
        <v>523</v>
      </c>
      <c r="G65" s="3091">
        <f t="shared" si="1"/>
        <v>0</v>
      </c>
      <c r="H65" s="3092">
        <f t="shared" ca="1" si="5"/>
        <v>0</v>
      </c>
      <c r="I65" s="3094" t="s">
        <v>6803</v>
      </c>
      <c r="J65" s="3073"/>
      <c r="K65" s="3091">
        <f t="shared" si="6"/>
        <v>0</v>
      </c>
      <c r="L65" s="3072" t="s">
        <v>6799</v>
      </c>
      <c r="M65" s="3094" t="s">
        <v>6803</v>
      </c>
      <c r="N65" s="3073"/>
      <c r="O65" s="3100"/>
      <c r="P65" s="3101"/>
      <c r="Q65" s="3101"/>
      <c r="R65" s="3101"/>
      <c r="S65" s="3102" t="s">
        <v>295</v>
      </c>
      <c r="T65" s="3102" t="s">
        <v>213</v>
      </c>
      <c r="U65" s="3103"/>
      <c r="V65" s="3103" t="s">
        <v>295</v>
      </c>
      <c r="W65" s="3103" t="s">
        <v>6797</v>
      </c>
      <c r="X65" s="3103" t="s">
        <v>6798</v>
      </c>
      <c r="Y65" s="3104" t="s">
        <v>164</v>
      </c>
    </row>
    <row r="66" spans="1:25" ht="17">
      <c r="A66" s="1304"/>
      <c r="B66" s="643">
        <v>1131</v>
      </c>
      <c r="C66" s="643" t="s">
        <v>526</v>
      </c>
      <c r="D66" s="3088">
        <v>1</v>
      </c>
      <c r="E66" s="3089" t="str">
        <f t="shared" si="0"/>
        <v>应收股利</v>
      </c>
      <c r="F66" s="3090" t="s">
        <v>527</v>
      </c>
      <c r="G66" s="3091">
        <f t="shared" si="1"/>
        <v>0</v>
      </c>
      <c r="H66" s="3092">
        <f t="shared" ca="1" si="5"/>
        <v>0</v>
      </c>
      <c r="I66" s="3094">
        <f ca="1">IF(AND(LEN(G66)&gt;0,LEN(H66)&gt;0),ROUND(SUM(G66)-SUM(H66),2),"")</f>
        <v>0</v>
      </c>
      <c r="J66" s="3073" t="str">
        <f ca="1">IF(ISNA(I66),"N/A",IF(I66=0,"√","？"))</f>
        <v>√</v>
      </c>
      <c r="K66" s="3091">
        <f t="shared" si="6"/>
        <v>0</v>
      </c>
      <c r="L66" s="3072">
        <f ca="1">INDIRECT("Notes!CheckB"&amp;$C66)</f>
        <v>0</v>
      </c>
      <c r="M66" s="3094">
        <f ca="1">IF(AND(LEN(K66)&gt;0,LEN(L66)&gt;0),ROUND(SUM(K66)-SUM(L66),2),"")</f>
        <v>0</v>
      </c>
      <c r="N66" s="3073" t="str">
        <f ca="1">IF(ISNA(M66),"N/A",IF(M66=0,"√","？"))</f>
        <v>√</v>
      </c>
      <c r="O66" s="3100"/>
      <c r="P66" s="3101"/>
      <c r="Q66" s="3101"/>
      <c r="R66" s="3101"/>
      <c r="S66" s="3102" t="s">
        <v>295</v>
      </c>
      <c r="T66" s="3102" t="s">
        <v>213</v>
      </c>
      <c r="U66" s="3103"/>
      <c r="V66" s="3103" t="s">
        <v>295</v>
      </c>
      <c r="W66" s="3103" t="s">
        <v>6797</v>
      </c>
      <c r="X66" s="3103" t="s">
        <v>6798</v>
      </c>
      <c r="Y66" s="3104" t="s">
        <v>164</v>
      </c>
    </row>
    <row r="67" spans="1:25" ht="26" hidden="1">
      <c r="A67" s="1304"/>
      <c r="B67" s="643">
        <v>1131</v>
      </c>
      <c r="C67" s="643" t="s">
        <v>532</v>
      </c>
      <c r="D67" s="3088">
        <v>2</v>
      </c>
      <c r="E67" s="3089" t="str">
        <f t="shared" si="0"/>
        <v>应收股利</v>
      </c>
      <c r="F67" s="3090" t="s">
        <v>533</v>
      </c>
      <c r="G67" s="3091">
        <f t="shared" si="1"/>
        <v>0</v>
      </c>
      <c r="H67" s="3092">
        <f t="shared" ca="1" si="5"/>
        <v>0</v>
      </c>
      <c r="I67" s="3094" t="s">
        <v>6803</v>
      </c>
      <c r="J67" s="3073"/>
      <c r="K67" s="3091">
        <f t="shared" si="6"/>
        <v>0</v>
      </c>
      <c r="L67" s="3072" t="s">
        <v>6799</v>
      </c>
      <c r="M67" s="3094" t="s">
        <v>6803</v>
      </c>
      <c r="N67" s="3073"/>
      <c r="O67" s="3100"/>
      <c r="P67" s="3101"/>
      <c r="Q67" s="3101"/>
      <c r="R67" s="3101"/>
      <c r="S67" s="3102" t="s">
        <v>295</v>
      </c>
      <c r="T67" s="3102" t="s">
        <v>213</v>
      </c>
      <c r="U67" s="3103"/>
      <c r="V67" s="3103" t="s">
        <v>295</v>
      </c>
      <c r="W67" s="3103" t="s">
        <v>6797</v>
      </c>
      <c r="X67" s="3103" t="s">
        <v>6798</v>
      </c>
      <c r="Y67" s="3104" t="s">
        <v>164</v>
      </c>
    </row>
    <row r="68" spans="1:25" ht="17">
      <c r="A68" s="1304"/>
      <c r="B68" s="643">
        <v>1221</v>
      </c>
      <c r="C68" s="643" t="s">
        <v>538</v>
      </c>
      <c r="D68" s="3088">
        <v>1</v>
      </c>
      <c r="E68" s="3089" t="str">
        <f t="shared" si="0"/>
        <v>其他应收款</v>
      </c>
      <c r="F68" s="3090" t="s">
        <v>539</v>
      </c>
      <c r="G68" s="3091">
        <f t="shared" si="1"/>
        <v>0</v>
      </c>
      <c r="H68" s="3092">
        <f t="shared" ca="1" si="5"/>
        <v>0</v>
      </c>
      <c r="I68" s="3094">
        <f ca="1">IF(AND(LEN(G68)&gt;0,LEN(H68)&gt;0),ROUND(SUM(G68)-SUM(H68),2),"")</f>
        <v>0</v>
      </c>
      <c r="J68" s="3073" t="str">
        <f ca="1">IF(ISNA(I68),"N/A",IF(I68=0,"√","？"))</f>
        <v>√</v>
      </c>
      <c r="K68" s="3091">
        <f t="shared" si="6"/>
        <v>0</v>
      </c>
      <c r="L68" s="3072">
        <f ca="1">INDIRECT("Notes!CheckB"&amp;$C68)</f>
        <v>0</v>
      </c>
      <c r="M68" s="3094">
        <f ca="1">IF(AND(LEN(K68)&gt;0,LEN(L68)&gt;0),ROUND(SUM(K68)-SUM(L68),2),"")</f>
        <v>0</v>
      </c>
      <c r="N68" s="3073" t="str">
        <f ca="1">IF(ISNA(M68),"N/A",IF(M68=0,"√","？"))</f>
        <v>√</v>
      </c>
      <c r="O68" s="3100"/>
      <c r="P68" s="3101"/>
      <c r="Q68" s="3101"/>
      <c r="R68" s="3101"/>
      <c r="S68" s="3102" t="s">
        <v>295</v>
      </c>
      <c r="T68" s="3102" t="s">
        <v>213</v>
      </c>
      <c r="U68" s="3103"/>
      <c r="V68" s="3103" t="s">
        <v>295</v>
      </c>
      <c r="W68" s="3103" t="s">
        <v>145</v>
      </c>
      <c r="X68" s="3103" t="s">
        <v>6800</v>
      </c>
      <c r="Y68" s="3104" t="s">
        <v>164</v>
      </c>
    </row>
    <row r="69" spans="1:25" ht="26">
      <c r="A69" s="1304"/>
      <c r="B69" s="643">
        <v>1221</v>
      </c>
      <c r="C69" s="643" t="s">
        <v>544</v>
      </c>
      <c r="D69" s="3088">
        <v>1</v>
      </c>
      <c r="E69" s="3089" t="str">
        <f t="shared" si="0"/>
        <v>其他应收款</v>
      </c>
      <c r="F69" s="3090" t="s">
        <v>545</v>
      </c>
      <c r="G69" s="3091">
        <f t="shared" si="1"/>
        <v>0</v>
      </c>
      <c r="H69" s="3092">
        <f t="shared" ref="H69:H85" ca="1" si="7">INDIRECT("Notes!CheckA"&amp;$C69)</f>
        <v>0</v>
      </c>
      <c r="I69" s="3094">
        <f ca="1">IF(AND(LEN(G69)&gt;0,LEN(H69)&gt;0),ROUND(SUM(G69)-SUM(H69),2),"")</f>
        <v>0</v>
      </c>
      <c r="J69" s="3073" t="str">
        <f ca="1">IF(ISNA(I69),"N/A",IF(I69=0,"√","？"))</f>
        <v>√</v>
      </c>
      <c r="K69" s="3091">
        <f t="shared" si="6"/>
        <v>0</v>
      </c>
      <c r="L69" s="3072">
        <f ca="1">INDIRECT("Notes!CheckB"&amp;$C69)</f>
        <v>0</v>
      </c>
      <c r="M69" s="3094">
        <f ca="1">IF(AND(LEN(K69)&gt;0,LEN(L69)&gt;0),ROUND(SUM(K69)-SUM(L69),2),"")</f>
        <v>0</v>
      </c>
      <c r="N69" s="3073" t="str">
        <f ca="1">IF(ISNA(M69),"N/A",IF(M69=0,"√","？"))</f>
        <v>√</v>
      </c>
      <c r="O69" s="3100"/>
      <c r="P69" s="3101"/>
      <c r="Q69" s="3101"/>
      <c r="R69" s="3101"/>
      <c r="S69" s="3102" t="s">
        <v>295</v>
      </c>
      <c r="T69" s="3102" t="s">
        <v>213</v>
      </c>
      <c r="U69" s="3103"/>
      <c r="V69" s="3103" t="s">
        <v>295</v>
      </c>
      <c r="W69" s="3103" t="s">
        <v>6797</v>
      </c>
      <c r="X69" s="3103" t="s">
        <v>6798</v>
      </c>
      <c r="Y69" s="3104" t="s">
        <v>164</v>
      </c>
    </row>
    <row r="70" spans="1:25" ht="39" hidden="1">
      <c r="A70" s="1304"/>
      <c r="B70" s="643">
        <v>1221</v>
      </c>
      <c r="C70" s="643">
        <v>122100</v>
      </c>
      <c r="D70" s="3088">
        <v>2</v>
      </c>
      <c r="E70" s="3089" t="str">
        <f t="shared" si="0"/>
        <v>其他应收款</v>
      </c>
      <c r="F70" s="3090" t="s">
        <v>5910</v>
      </c>
      <c r="G70" s="3091">
        <f t="shared" si="1"/>
        <v>0</v>
      </c>
      <c r="H70" s="3092">
        <f t="shared" ca="1" si="7"/>
        <v>0</v>
      </c>
      <c r="I70" s="3094" t="s">
        <v>6803</v>
      </c>
      <c r="J70" s="3073"/>
      <c r="K70" s="3091">
        <f t="shared" si="6"/>
        <v>0</v>
      </c>
      <c r="L70" s="3072" t="s">
        <v>6799</v>
      </c>
      <c r="M70" s="3094" t="s">
        <v>6803</v>
      </c>
      <c r="N70" s="3073"/>
      <c r="O70" s="3100"/>
      <c r="P70" s="3101"/>
      <c r="Q70" s="3101"/>
      <c r="R70" s="3101"/>
      <c r="S70" s="3102" t="s">
        <v>295</v>
      </c>
      <c r="T70" s="3102" t="s">
        <v>213</v>
      </c>
      <c r="U70" s="3103"/>
      <c r="V70" s="3103" t="s">
        <v>295</v>
      </c>
      <c r="W70" s="3103" t="s">
        <v>145</v>
      </c>
      <c r="X70" s="3103" t="s">
        <v>6800</v>
      </c>
      <c r="Y70" s="3104" t="s">
        <v>119</v>
      </c>
    </row>
    <row r="71" spans="1:25" ht="39" hidden="1">
      <c r="A71" s="1304"/>
      <c r="B71" s="643">
        <v>1221</v>
      </c>
      <c r="C71" s="643">
        <v>122101</v>
      </c>
      <c r="D71" s="3088">
        <v>2</v>
      </c>
      <c r="E71" s="3089" t="str">
        <f t="shared" si="0"/>
        <v>其他应收款</v>
      </c>
      <c r="F71" s="3090" t="s">
        <v>6433</v>
      </c>
      <c r="G71" s="3091">
        <f t="shared" si="1"/>
        <v>0</v>
      </c>
      <c r="H71" s="3092">
        <f t="shared" ca="1" si="7"/>
        <v>0</v>
      </c>
      <c r="I71" s="3094" t="s">
        <v>6803</v>
      </c>
      <c r="J71" s="3073"/>
      <c r="K71" s="3091">
        <f t="shared" si="6"/>
        <v>0</v>
      </c>
      <c r="L71" s="3072" t="s">
        <v>6799</v>
      </c>
      <c r="M71" s="3094" t="s">
        <v>6803</v>
      </c>
      <c r="N71" s="3073"/>
      <c r="O71" s="3100"/>
      <c r="P71" s="3101"/>
      <c r="Q71" s="3101"/>
      <c r="R71" s="3101"/>
      <c r="S71" s="3102" t="s">
        <v>295</v>
      </c>
      <c r="T71" s="3102" t="s">
        <v>213</v>
      </c>
      <c r="U71" s="3103">
        <v>122100</v>
      </c>
      <c r="V71" s="3103" t="s">
        <v>295</v>
      </c>
      <c r="W71" s="3103" t="s">
        <v>145</v>
      </c>
      <c r="X71" s="3103" t="s">
        <v>6800</v>
      </c>
      <c r="Y71" s="3104" t="s">
        <v>119</v>
      </c>
    </row>
    <row r="72" spans="1:25" ht="39" hidden="1">
      <c r="A72" s="1304"/>
      <c r="B72" s="643">
        <v>1221</v>
      </c>
      <c r="C72" s="643">
        <v>122111</v>
      </c>
      <c r="D72" s="3088">
        <v>2</v>
      </c>
      <c r="E72" s="3089" t="str">
        <f t="shared" si="0"/>
        <v>其他应收款</v>
      </c>
      <c r="F72" s="3090" t="s">
        <v>5923</v>
      </c>
      <c r="G72" s="3091">
        <f t="shared" si="1"/>
        <v>0</v>
      </c>
      <c r="H72" s="3092">
        <f t="shared" ca="1" si="7"/>
        <v>0</v>
      </c>
      <c r="I72" s="3094" t="s">
        <v>6803</v>
      </c>
      <c r="J72" s="3073"/>
      <c r="K72" s="3091">
        <f t="shared" si="6"/>
        <v>0</v>
      </c>
      <c r="L72" s="3072">
        <f ca="1">INDIRECT("Notes!CheckB"&amp;$C72)</f>
        <v>0</v>
      </c>
      <c r="M72" s="3094" t="s">
        <v>6803</v>
      </c>
      <c r="N72" s="3073"/>
      <c r="O72" s="3100"/>
      <c r="P72" s="3101"/>
      <c r="Q72" s="3101"/>
      <c r="R72" s="3101"/>
      <c r="S72" s="3102" t="s">
        <v>295</v>
      </c>
      <c r="T72" s="3102" t="s">
        <v>213</v>
      </c>
      <c r="U72" s="3103">
        <v>122101</v>
      </c>
      <c r="V72" s="3103" t="s">
        <v>295</v>
      </c>
      <c r="W72" s="3103" t="s">
        <v>145</v>
      </c>
      <c r="X72" s="3103" t="s">
        <v>6800</v>
      </c>
      <c r="Y72" s="3104" t="s">
        <v>119</v>
      </c>
    </row>
    <row r="73" spans="1:25" ht="39" hidden="1">
      <c r="A73" s="1304"/>
      <c r="B73" s="643">
        <v>1221</v>
      </c>
      <c r="C73" s="643">
        <v>122112</v>
      </c>
      <c r="D73" s="3088">
        <v>2</v>
      </c>
      <c r="E73" s="3089" t="str">
        <f t="shared" ref="E73:E136" si="8">IF(ISERROR(VLOOKUP($B73,Sheet_Items,2,0)),"        ----",VLOOKUP($B73,Sheet_Items,2,0))</f>
        <v>其他应收款</v>
      </c>
      <c r="F73" s="3090" t="s">
        <v>5911</v>
      </c>
      <c r="G73" s="3091">
        <f t="shared" ref="G73:G136" si="9">IF(ISERROR(VLOOKUP($B73,Sheet_Trialbal,6,0)),"        ----",VLOOKUP($B73,Sheet_Trialbal,6,0))</f>
        <v>0</v>
      </c>
      <c r="H73" s="3092">
        <f t="shared" ca="1" si="7"/>
        <v>0</v>
      </c>
      <c r="I73" s="3094" t="s">
        <v>6803</v>
      </c>
      <c r="J73" s="3073"/>
      <c r="K73" s="3091">
        <f t="shared" ref="K73:K104" si="10">IF(ISERROR(VLOOKUP($B73,Sheet_Trialbal,10,0)),"        ----",VLOOKUP($B73,Sheet_Trialbal,10,0))</f>
        <v>0</v>
      </c>
      <c r="L73" s="3072" t="s">
        <v>6799</v>
      </c>
      <c r="M73" s="3094" t="s">
        <v>6803</v>
      </c>
      <c r="N73" s="3073"/>
      <c r="O73" s="3100"/>
      <c r="P73" s="3101"/>
      <c r="Q73" s="3101"/>
      <c r="R73" s="3101"/>
      <c r="S73" s="3102" t="s">
        <v>295</v>
      </c>
      <c r="T73" s="3102" t="s">
        <v>213</v>
      </c>
      <c r="U73" s="3103">
        <v>122101</v>
      </c>
      <c r="V73" s="3103" t="s">
        <v>295</v>
      </c>
      <c r="W73" s="3103" t="s">
        <v>145</v>
      </c>
      <c r="X73" s="3103" t="s">
        <v>6800</v>
      </c>
      <c r="Y73" s="3104" t="s">
        <v>119</v>
      </c>
    </row>
    <row r="74" spans="1:25" ht="39" hidden="1">
      <c r="A74" s="1304"/>
      <c r="B74" s="643">
        <v>1221</v>
      </c>
      <c r="C74" s="643">
        <v>122113</v>
      </c>
      <c r="D74" s="3088">
        <v>2</v>
      </c>
      <c r="E74" s="3089" t="str">
        <f t="shared" si="8"/>
        <v>其他应收款</v>
      </c>
      <c r="F74" s="3090" t="s">
        <v>5922</v>
      </c>
      <c r="G74" s="3091">
        <f t="shared" si="9"/>
        <v>0</v>
      </c>
      <c r="H74" s="3092">
        <f t="shared" ca="1" si="7"/>
        <v>0</v>
      </c>
      <c r="I74" s="3094" t="s">
        <v>6803</v>
      </c>
      <c r="J74" s="3073"/>
      <c r="K74" s="3091">
        <f t="shared" si="10"/>
        <v>0</v>
      </c>
      <c r="L74" s="3072" t="s">
        <v>6799</v>
      </c>
      <c r="M74" s="3094" t="s">
        <v>6803</v>
      </c>
      <c r="N74" s="3073"/>
      <c r="O74" s="3100"/>
      <c r="P74" s="3101"/>
      <c r="Q74" s="3101"/>
      <c r="R74" s="3101"/>
      <c r="S74" s="3102" t="s">
        <v>295</v>
      </c>
      <c r="T74" s="3102" t="s">
        <v>213</v>
      </c>
      <c r="U74" s="3103">
        <v>122101</v>
      </c>
      <c r="V74" s="3103" t="s">
        <v>295</v>
      </c>
      <c r="W74" s="3103" t="s">
        <v>145</v>
      </c>
      <c r="X74" s="3103" t="s">
        <v>213</v>
      </c>
      <c r="Y74" s="3104" t="s">
        <v>119</v>
      </c>
    </row>
    <row r="75" spans="1:25" ht="39" hidden="1">
      <c r="A75" s="1304"/>
      <c r="B75" s="643">
        <v>1221</v>
      </c>
      <c r="C75" s="643">
        <v>122114</v>
      </c>
      <c r="D75" s="3088">
        <v>2</v>
      </c>
      <c r="E75" s="3089" t="str">
        <f t="shared" si="8"/>
        <v>其他应收款</v>
      </c>
      <c r="F75" s="3090" t="s">
        <v>5921</v>
      </c>
      <c r="G75" s="3091">
        <f t="shared" si="9"/>
        <v>0</v>
      </c>
      <c r="H75" s="3092">
        <f t="shared" ca="1" si="7"/>
        <v>0</v>
      </c>
      <c r="I75" s="3094" t="s">
        <v>6803</v>
      </c>
      <c r="J75" s="3073"/>
      <c r="K75" s="3091">
        <f t="shared" si="10"/>
        <v>0</v>
      </c>
      <c r="L75" s="3072" t="s">
        <v>6799</v>
      </c>
      <c r="M75" s="3094" t="s">
        <v>6803</v>
      </c>
      <c r="N75" s="3073"/>
      <c r="O75" s="3100"/>
      <c r="P75" s="3101"/>
      <c r="Q75" s="3101"/>
      <c r="R75" s="3101"/>
      <c r="S75" s="3102" t="s">
        <v>295</v>
      </c>
      <c r="T75" s="3102" t="s">
        <v>213</v>
      </c>
      <c r="U75" s="3103">
        <v>122101</v>
      </c>
      <c r="V75" s="3103" t="s">
        <v>295</v>
      </c>
      <c r="W75" s="3103" t="s">
        <v>145</v>
      </c>
      <c r="X75" s="3103" t="s">
        <v>213</v>
      </c>
      <c r="Y75" s="3104" t="s">
        <v>119</v>
      </c>
    </row>
    <row r="76" spans="1:25" ht="39" hidden="1">
      <c r="A76" s="1304"/>
      <c r="B76" s="643">
        <v>1221</v>
      </c>
      <c r="C76" s="643">
        <v>122102</v>
      </c>
      <c r="D76" s="3088">
        <v>2</v>
      </c>
      <c r="E76" s="3089" t="str">
        <f t="shared" si="8"/>
        <v>其他应收款</v>
      </c>
      <c r="F76" s="3090" t="s">
        <v>6434</v>
      </c>
      <c r="G76" s="3091">
        <f t="shared" si="9"/>
        <v>0</v>
      </c>
      <c r="H76" s="3092">
        <f t="shared" ca="1" si="7"/>
        <v>0</v>
      </c>
      <c r="I76" s="3094" t="s">
        <v>6803</v>
      </c>
      <c r="J76" s="3073"/>
      <c r="K76" s="3091">
        <f t="shared" si="10"/>
        <v>0</v>
      </c>
      <c r="L76" s="3072">
        <f ca="1">INDIRECT("Notes!CheckB"&amp;$C76)</f>
        <v>0</v>
      </c>
      <c r="M76" s="3094" t="s">
        <v>6803</v>
      </c>
      <c r="N76" s="3073"/>
      <c r="O76" s="3100"/>
      <c r="P76" s="3101"/>
      <c r="Q76" s="3101"/>
      <c r="R76" s="3101"/>
      <c r="S76" s="3102" t="s">
        <v>295</v>
      </c>
      <c r="T76" s="3102" t="s">
        <v>213</v>
      </c>
      <c r="U76" s="3103">
        <v>122100</v>
      </c>
      <c r="V76" s="3103" t="s">
        <v>295</v>
      </c>
      <c r="W76" s="3103" t="s">
        <v>145</v>
      </c>
      <c r="X76" s="3103" t="s">
        <v>6800</v>
      </c>
      <c r="Y76" s="3104" t="s">
        <v>119</v>
      </c>
    </row>
    <row r="77" spans="1:25" ht="39" hidden="1">
      <c r="A77" s="1304"/>
      <c r="B77" s="643">
        <v>1221</v>
      </c>
      <c r="C77" s="643">
        <v>122121</v>
      </c>
      <c r="D77" s="3088">
        <v>2</v>
      </c>
      <c r="E77" s="3089" t="str">
        <f t="shared" si="8"/>
        <v>其他应收款</v>
      </c>
      <c r="F77" s="3090" t="s">
        <v>5912</v>
      </c>
      <c r="G77" s="3091">
        <f t="shared" si="9"/>
        <v>0</v>
      </c>
      <c r="H77" s="3092">
        <f t="shared" ca="1" si="7"/>
        <v>0</v>
      </c>
      <c r="I77" s="3094" t="s">
        <v>6803</v>
      </c>
      <c r="J77" s="3073"/>
      <c r="K77" s="3091">
        <f t="shared" si="10"/>
        <v>0</v>
      </c>
      <c r="L77" s="3072" t="s">
        <v>6799</v>
      </c>
      <c r="M77" s="3094" t="s">
        <v>6803</v>
      </c>
      <c r="N77" s="3073"/>
      <c r="O77" s="3100"/>
      <c r="P77" s="3101"/>
      <c r="Q77" s="3101"/>
      <c r="R77" s="3101"/>
      <c r="S77" s="3102" t="s">
        <v>295</v>
      </c>
      <c r="T77" s="3102" t="s">
        <v>213</v>
      </c>
      <c r="U77" s="3103">
        <v>122102</v>
      </c>
      <c r="V77" s="3103" t="s">
        <v>295</v>
      </c>
      <c r="W77" s="3103" t="s">
        <v>145</v>
      </c>
      <c r="X77" s="3103" t="s">
        <v>6800</v>
      </c>
      <c r="Y77" s="3104" t="s">
        <v>119</v>
      </c>
    </row>
    <row r="78" spans="1:25" ht="39" hidden="1">
      <c r="A78" s="1304"/>
      <c r="B78" s="643">
        <v>1221</v>
      </c>
      <c r="C78" s="643">
        <v>122122</v>
      </c>
      <c r="D78" s="3088">
        <v>2</v>
      </c>
      <c r="E78" s="3089" t="str">
        <f t="shared" si="8"/>
        <v>其他应收款</v>
      </c>
      <c r="F78" s="3090" t="s">
        <v>5913</v>
      </c>
      <c r="G78" s="3091">
        <f t="shared" si="9"/>
        <v>0</v>
      </c>
      <c r="H78" s="3092">
        <f t="shared" ca="1" si="7"/>
        <v>0</v>
      </c>
      <c r="I78" s="3094" t="s">
        <v>6803</v>
      </c>
      <c r="J78" s="3073"/>
      <c r="K78" s="3091">
        <f t="shared" si="10"/>
        <v>0</v>
      </c>
      <c r="L78" s="3072" t="s">
        <v>6799</v>
      </c>
      <c r="M78" s="3094" t="s">
        <v>6803</v>
      </c>
      <c r="N78" s="3073"/>
      <c r="O78" s="3100"/>
      <c r="P78" s="3101"/>
      <c r="Q78" s="3101"/>
      <c r="R78" s="3101"/>
      <c r="S78" s="3102" t="s">
        <v>295</v>
      </c>
      <c r="T78" s="3102" t="s">
        <v>213</v>
      </c>
      <c r="U78" s="3103">
        <v>122102</v>
      </c>
      <c r="V78" s="3103" t="s">
        <v>295</v>
      </c>
      <c r="W78" s="3103" t="s">
        <v>145</v>
      </c>
      <c r="X78" s="3103" t="s">
        <v>6800</v>
      </c>
      <c r="Y78" s="3104" t="s">
        <v>119</v>
      </c>
    </row>
    <row r="79" spans="1:25" ht="39" hidden="1">
      <c r="A79" s="1304"/>
      <c r="B79" s="643">
        <v>1221</v>
      </c>
      <c r="C79" s="643">
        <v>122123</v>
      </c>
      <c r="D79" s="3088">
        <v>2</v>
      </c>
      <c r="E79" s="3089" t="str">
        <f t="shared" si="8"/>
        <v>其他应收款</v>
      </c>
      <c r="F79" s="3090" t="s">
        <v>5914</v>
      </c>
      <c r="G79" s="3091">
        <f t="shared" si="9"/>
        <v>0</v>
      </c>
      <c r="H79" s="3092">
        <f t="shared" ca="1" si="7"/>
        <v>0</v>
      </c>
      <c r="I79" s="3094" t="s">
        <v>6803</v>
      </c>
      <c r="J79" s="3073"/>
      <c r="K79" s="3091">
        <f t="shared" si="10"/>
        <v>0</v>
      </c>
      <c r="L79" s="3072" t="s">
        <v>6799</v>
      </c>
      <c r="M79" s="3094" t="s">
        <v>6803</v>
      </c>
      <c r="N79" s="3073"/>
      <c r="O79" s="3100"/>
      <c r="P79" s="3101"/>
      <c r="Q79" s="3101"/>
      <c r="R79" s="3101"/>
      <c r="S79" s="3102" t="s">
        <v>295</v>
      </c>
      <c r="T79" s="3102" t="s">
        <v>213</v>
      </c>
      <c r="U79" s="3103">
        <v>122102</v>
      </c>
      <c r="V79" s="3103" t="s">
        <v>295</v>
      </c>
      <c r="W79" s="3103" t="s">
        <v>145</v>
      </c>
      <c r="X79" s="3103" t="s">
        <v>213</v>
      </c>
      <c r="Y79" s="3104" t="s">
        <v>119</v>
      </c>
    </row>
    <row r="80" spans="1:25" ht="39" hidden="1">
      <c r="A80" s="1304"/>
      <c r="B80" s="643">
        <v>1221</v>
      </c>
      <c r="C80" s="643">
        <v>122124</v>
      </c>
      <c r="D80" s="3088">
        <v>2</v>
      </c>
      <c r="E80" s="3089" t="str">
        <f t="shared" si="8"/>
        <v>其他应收款</v>
      </c>
      <c r="F80" s="3090" t="s">
        <v>5915</v>
      </c>
      <c r="G80" s="3091">
        <f t="shared" si="9"/>
        <v>0</v>
      </c>
      <c r="H80" s="3092">
        <f t="shared" ca="1" si="7"/>
        <v>0</v>
      </c>
      <c r="I80" s="3094" t="s">
        <v>6803</v>
      </c>
      <c r="J80" s="3073"/>
      <c r="K80" s="3091">
        <f t="shared" si="10"/>
        <v>0</v>
      </c>
      <c r="L80" s="3072" t="s">
        <v>6799</v>
      </c>
      <c r="M80" s="3094" t="s">
        <v>6803</v>
      </c>
      <c r="N80" s="3073"/>
      <c r="O80" s="3100"/>
      <c r="P80" s="3101"/>
      <c r="Q80" s="3101"/>
      <c r="R80" s="3101"/>
      <c r="S80" s="3102" t="s">
        <v>295</v>
      </c>
      <c r="T80" s="3102" t="s">
        <v>213</v>
      </c>
      <c r="U80" s="3103">
        <v>122102</v>
      </c>
      <c r="V80" s="3103" t="s">
        <v>295</v>
      </c>
      <c r="W80" s="3103" t="s">
        <v>145</v>
      </c>
      <c r="X80" s="3103" t="s">
        <v>213</v>
      </c>
      <c r="Y80" s="3104" t="s">
        <v>119</v>
      </c>
    </row>
    <row r="81" spans="1:25" ht="39" hidden="1">
      <c r="A81" s="1304"/>
      <c r="B81" s="643">
        <v>1221</v>
      </c>
      <c r="C81" s="643">
        <v>122103</v>
      </c>
      <c r="D81" s="3088">
        <v>2</v>
      </c>
      <c r="E81" s="3089" t="str">
        <f t="shared" si="8"/>
        <v>其他应收款</v>
      </c>
      <c r="F81" s="3090" t="s">
        <v>6435</v>
      </c>
      <c r="G81" s="3091">
        <f t="shared" si="9"/>
        <v>0</v>
      </c>
      <c r="H81" s="3092">
        <f t="shared" ca="1" si="7"/>
        <v>0</v>
      </c>
      <c r="I81" s="3094" t="s">
        <v>6803</v>
      </c>
      <c r="J81" s="3073"/>
      <c r="K81" s="3091">
        <f t="shared" si="10"/>
        <v>0</v>
      </c>
      <c r="L81" s="3072" t="s">
        <v>6799</v>
      </c>
      <c r="M81" s="3094" t="s">
        <v>6803</v>
      </c>
      <c r="N81" s="3073"/>
      <c r="O81" s="3100"/>
      <c r="P81" s="3101"/>
      <c r="Q81" s="3101"/>
      <c r="R81" s="3101"/>
      <c r="S81" s="3102" t="s">
        <v>295</v>
      </c>
      <c r="T81" s="3102" t="s">
        <v>213</v>
      </c>
      <c r="U81" s="3103">
        <v>122100</v>
      </c>
      <c r="V81" s="3103" t="s">
        <v>295</v>
      </c>
      <c r="W81" s="3103" t="s">
        <v>145</v>
      </c>
      <c r="X81" s="3103" t="s">
        <v>6800</v>
      </c>
      <c r="Y81" s="3104" t="s">
        <v>119</v>
      </c>
    </row>
    <row r="82" spans="1:25" ht="39" hidden="1">
      <c r="A82" s="1304"/>
      <c r="B82" s="643">
        <v>1221</v>
      </c>
      <c r="C82" s="643">
        <v>122131</v>
      </c>
      <c r="D82" s="3088">
        <v>2</v>
      </c>
      <c r="E82" s="3089" t="str">
        <f t="shared" si="8"/>
        <v>其他应收款</v>
      </c>
      <c r="F82" s="3090" t="s">
        <v>5916</v>
      </c>
      <c r="G82" s="3091">
        <f t="shared" si="9"/>
        <v>0</v>
      </c>
      <c r="H82" s="3092">
        <f t="shared" ca="1" si="7"/>
        <v>0</v>
      </c>
      <c r="I82" s="3094" t="s">
        <v>6803</v>
      </c>
      <c r="J82" s="3073"/>
      <c r="K82" s="3091">
        <f t="shared" si="10"/>
        <v>0</v>
      </c>
      <c r="L82" s="3072" t="s">
        <v>6799</v>
      </c>
      <c r="M82" s="3094" t="s">
        <v>6803</v>
      </c>
      <c r="N82" s="3073"/>
      <c r="O82" s="3100"/>
      <c r="P82" s="3101"/>
      <c r="Q82" s="3101"/>
      <c r="R82" s="3101"/>
      <c r="S82" s="3102" t="s">
        <v>295</v>
      </c>
      <c r="T82" s="3102" t="s">
        <v>213</v>
      </c>
      <c r="U82" s="3103">
        <v>122103</v>
      </c>
      <c r="V82" s="3103" t="s">
        <v>295</v>
      </c>
      <c r="W82" s="3103" t="s">
        <v>145</v>
      </c>
      <c r="X82" s="3103" t="s">
        <v>6800</v>
      </c>
      <c r="Y82" s="3104" t="s">
        <v>119</v>
      </c>
    </row>
    <row r="83" spans="1:25" ht="39" hidden="1">
      <c r="A83" s="1304"/>
      <c r="B83" s="643">
        <v>1221</v>
      </c>
      <c r="C83" s="643">
        <v>122132</v>
      </c>
      <c r="D83" s="3088">
        <v>2</v>
      </c>
      <c r="E83" s="3089" t="str">
        <f t="shared" si="8"/>
        <v>其他应收款</v>
      </c>
      <c r="F83" s="3090" t="s">
        <v>5917</v>
      </c>
      <c r="G83" s="3091">
        <f t="shared" si="9"/>
        <v>0</v>
      </c>
      <c r="H83" s="3092">
        <f t="shared" ca="1" si="7"/>
        <v>0</v>
      </c>
      <c r="I83" s="3094" t="s">
        <v>6803</v>
      </c>
      <c r="J83" s="3073"/>
      <c r="K83" s="3091">
        <f t="shared" si="10"/>
        <v>0</v>
      </c>
      <c r="L83" s="3072" t="s">
        <v>6799</v>
      </c>
      <c r="M83" s="3094" t="s">
        <v>6803</v>
      </c>
      <c r="N83" s="3073"/>
      <c r="O83" s="3100"/>
      <c r="P83" s="3101"/>
      <c r="Q83" s="3101"/>
      <c r="R83" s="3101"/>
      <c r="S83" s="3102" t="s">
        <v>295</v>
      </c>
      <c r="T83" s="3102" t="s">
        <v>213</v>
      </c>
      <c r="U83" s="3103">
        <v>122103</v>
      </c>
      <c r="V83" s="3103" t="s">
        <v>295</v>
      </c>
      <c r="W83" s="3103" t="s">
        <v>145</v>
      </c>
      <c r="X83" s="3103" t="s">
        <v>6800</v>
      </c>
      <c r="Y83" s="3104" t="s">
        <v>119</v>
      </c>
    </row>
    <row r="84" spans="1:25" ht="39" hidden="1">
      <c r="A84" s="1304"/>
      <c r="B84" s="643">
        <v>1221</v>
      </c>
      <c r="C84" s="643">
        <v>122133</v>
      </c>
      <c r="D84" s="3088">
        <v>2</v>
      </c>
      <c r="E84" s="3089" t="str">
        <f t="shared" si="8"/>
        <v>其他应收款</v>
      </c>
      <c r="F84" s="3090" t="s">
        <v>5918</v>
      </c>
      <c r="G84" s="3091">
        <f t="shared" si="9"/>
        <v>0</v>
      </c>
      <c r="H84" s="3092">
        <f t="shared" ca="1" si="7"/>
        <v>0</v>
      </c>
      <c r="I84" s="3094" t="s">
        <v>6803</v>
      </c>
      <c r="J84" s="3073"/>
      <c r="K84" s="3091">
        <f t="shared" si="10"/>
        <v>0</v>
      </c>
      <c r="L84" s="3072">
        <f t="shared" ref="L84:L90" ca="1" si="11">INDIRECT("Notes!CheckB"&amp;$C84)</f>
        <v>0</v>
      </c>
      <c r="M84" s="3094" t="s">
        <v>6803</v>
      </c>
      <c r="N84" s="3073"/>
      <c r="O84" s="3100"/>
      <c r="P84" s="3101"/>
      <c r="Q84" s="3101"/>
      <c r="R84" s="3101"/>
      <c r="S84" s="3102" t="s">
        <v>295</v>
      </c>
      <c r="T84" s="3102" t="s">
        <v>213</v>
      </c>
      <c r="U84" s="3103">
        <v>122103</v>
      </c>
      <c r="V84" s="3103" t="s">
        <v>295</v>
      </c>
      <c r="W84" s="3103" t="s">
        <v>145</v>
      </c>
      <c r="X84" s="3103" t="s">
        <v>213</v>
      </c>
      <c r="Y84" s="3104" t="s">
        <v>119</v>
      </c>
    </row>
    <row r="85" spans="1:25" ht="39" hidden="1">
      <c r="A85" s="1304"/>
      <c r="B85" s="643">
        <v>1221</v>
      </c>
      <c r="C85" s="643">
        <v>122134</v>
      </c>
      <c r="D85" s="3088">
        <v>2</v>
      </c>
      <c r="E85" s="3089" t="str">
        <f t="shared" si="8"/>
        <v>其他应收款</v>
      </c>
      <c r="F85" s="3090" t="s">
        <v>5919</v>
      </c>
      <c r="G85" s="3091">
        <f t="shared" si="9"/>
        <v>0</v>
      </c>
      <c r="H85" s="3092">
        <f t="shared" ca="1" si="7"/>
        <v>0</v>
      </c>
      <c r="I85" s="3094" t="s">
        <v>6803</v>
      </c>
      <c r="J85" s="3073"/>
      <c r="K85" s="3091">
        <f t="shared" si="10"/>
        <v>0</v>
      </c>
      <c r="L85" s="3072">
        <f t="shared" ca="1" si="11"/>
        <v>0</v>
      </c>
      <c r="M85" s="3094" t="s">
        <v>6803</v>
      </c>
      <c r="N85" s="3073"/>
      <c r="O85" s="3100"/>
      <c r="P85" s="3101"/>
      <c r="Q85" s="3101"/>
      <c r="R85" s="3101"/>
      <c r="S85" s="3102" t="s">
        <v>295</v>
      </c>
      <c r="T85" s="3102" t="s">
        <v>213</v>
      </c>
      <c r="U85" s="3103">
        <v>122103</v>
      </c>
      <c r="V85" s="3103" t="s">
        <v>295</v>
      </c>
      <c r="W85" s="3103" t="s">
        <v>145</v>
      </c>
      <c r="X85" s="3103" t="s">
        <v>213</v>
      </c>
      <c r="Y85" s="3104" t="s">
        <v>119</v>
      </c>
    </row>
    <row r="86" spans="1:25" ht="39" hidden="1">
      <c r="A86" s="1304"/>
      <c r="B86" s="643">
        <v>1221</v>
      </c>
      <c r="C86" s="643" t="s">
        <v>558</v>
      </c>
      <c r="D86" s="3088">
        <v>2</v>
      </c>
      <c r="E86" s="3089" t="str">
        <f t="shared" si="8"/>
        <v>其他应收款</v>
      </c>
      <c r="F86" s="3090" t="s">
        <v>6436</v>
      </c>
      <c r="G86" s="3091">
        <f t="shared" si="9"/>
        <v>0</v>
      </c>
      <c r="H86" s="3092" t="s">
        <v>6799</v>
      </c>
      <c r="I86" s="3094" t="s">
        <v>6803</v>
      </c>
      <c r="J86" s="3073"/>
      <c r="K86" s="3091">
        <f t="shared" si="10"/>
        <v>0</v>
      </c>
      <c r="L86" s="3072">
        <f t="shared" ca="1" si="11"/>
        <v>0</v>
      </c>
      <c r="M86" s="3094" t="s">
        <v>6803</v>
      </c>
      <c r="N86" s="3073"/>
      <c r="O86" s="3100"/>
      <c r="P86" s="3101"/>
      <c r="Q86" s="3101"/>
      <c r="R86" s="3101"/>
      <c r="S86" s="3102" t="s">
        <v>295</v>
      </c>
      <c r="T86" s="3102" t="s">
        <v>213</v>
      </c>
      <c r="U86" s="3103"/>
      <c r="V86" s="3103" t="s">
        <v>295</v>
      </c>
      <c r="W86" s="3103" t="s">
        <v>145</v>
      </c>
      <c r="X86" s="3103" t="s">
        <v>6800</v>
      </c>
      <c r="Y86" s="3104" t="s">
        <v>119</v>
      </c>
    </row>
    <row r="87" spans="1:25" ht="52" hidden="1">
      <c r="A87" s="1304"/>
      <c r="B87" s="643">
        <v>1221</v>
      </c>
      <c r="C87" s="643" t="s">
        <v>569</v>
      </c>
      <c r="D87" s="3088">
        <v>2</v>
      </c>
      <c r="E87" s="3089" t="str">
        <f t="shared" si="8"/>
        <v>其他应收款</v>
      </c>
      <c r="F87" s="3090" t="s">
        <v>6437</v>
      </c>
      <c r="G87" s="3091">
        <f t="shared" si="9"/>
        <v>0</v>
      </c>
      <c r="H87" s="3092" t="s">
        <v>6799</v>
      </c>
      <c r="I87" s="3094" t="s">
        <v>6803</v>
      </c>
      <c r="J87" s="3073"/>
      <c r="K87" s="3091">
        <f t="shared" si="10"/>
        <v>0</v>
      </c>
      <c r="L87" s="3072">
        <f t="shared" ca="1" si="11"/>
        <v>0</v>
      </c>
      <c r="M87" s="3094" t="s">
        <v>6803</v>
      </c>
      <c r="N87" s="3073"/>
      <c r="O87" s="3100"/>
      <c r="P87" s="3101"/>
      <c r="Q87" s="3101"/>
      <c r="R87" s="3101"/>
      <c r="S87" s="3102" t="s">
        <v>295</v>
      </c>
      <c r="T87" s="3102" t="s">
        <v>213</v>
      </c>
      <c r="U87" s="3103"/>
      <c r="V87" s="3103" t="s">
        <v>295</v>
      </c>
      <c r="W87" s="3103" t="s">
        <v>145</v>
      </c>
      <c r="X87" s="3103" t="s">
        <v>6800</v>
      </c>
      <c r="Y87" s="3104" t="s">
        <v>119</v>
      </c>
    </row>
    <row r="88" spans="1:25" ht="52" hidden="1">
      <c r="A88" s="1304"/>
      <c r="B88" s="643">
        <v>1221</v>
      </c>
      <c r="C88" s="643" t="s">
        <v>575</v>
      </c>
      <c r="D88" s="3088">
        <v>2</v>
      </c>
      <c r="E88" s="3089" t="str">
        <f t="shared" si="8"/>
        <v>其他应收款</v>
      </c>
      <c r="F88" s="3090" t="s">
        <v>6438</v>
      </c>
      <c r="G88" s="3091">
        <f t="shared" si="9"/>
        <v>0</v>
      </c>
      <c r="H88" s="3092" t="s">
        <v>6799</v>
      </c>
      <c r="I88" s="3094" t="s">
        <v>6803</v>
      </c>
      <c r="J88" s="3073"/>
      <c r="K88" s="3091">
        <f t="shared" si="10"/>
        <v>0</v>
      </c>
      <c r="L88" s="3072">
        <f t="shared" ca="1" si="11"/>
        <v>0</v>
      </c>
      <c r="M88" s="3094" t="s">
        <v>6803</v>
      </c>
      <c r="N88" s="3073"/>
      <c r="O88" s="3100"/>
      <c r="P88" s="3101"/>
      <c r="Q88" s="3101"/>
      <c r="R88" s="3101"/>
      <c r="S88" s="3102" t="s">
        <v>295</v>
      </c>
      <c r="T88" s="3102" t="s">
        <v>213</v>
      </c>
      <c r="U88" s="3103"/>
      <c r="V88" s="3103" t="s">
        <v>295</v>
      </c>
      <c r="W88" s="3103" t="s">
        <v>145</v>
      </c>
      <c r="X88" s="3103" t="s">
        <v>6800</v>
      </c>
      <c r="Y88" s="3104" t="s">
        <v>119</v>
      </c>
    </row>
    <row r="89" spans="1:25" ht="26" hidden="1">
      <c r="A89" s="1304"/>
      <c r="B89" s="643">
        <v>1221</v>
      </c>
      <c r="C89" s="643" t="s">
        <v>579</v>
      </c>
      <c r="D89" s="3088">
        <v>2</v>
      </c>
      <c r="E89" s="3089" t="str">
        <f t="shared" si="8"/>
        <v>其他应收款</v>
      </c>
      <c r="F89" s="3090" t="s">
        <v>580</v>
      </c>
      <c r="G89" s="3091">
        <f t="shared" si="9"/>
        <v>0</v>
      </c>
      <c r="H89" s="3092">
        <f t="shared" ref="H89:H101" ca="1" si="12">INDIRECT("Notes!CheckA"&amp;$C89)</f>
        <v>0</v>
      </c>
      <c r="I89" s="3094" t="s">
        <v>6803</v>
      </c>
      <c r="J89" s="3073"/>
      <c r="K89" s="3091">
        <f t="shared" si="10"/>
        <v>0</v>
      </c>
      <c r="L89" s="3072">
        <f t="shared" ca="1" si="11"/>
        <v>0</v>
      </c>
      <c r="M89" s="3094" t="s">
        <v>6803</v>
      </c>
      <c r="N89" s="3073"/>
      <c r="O89" s="3100"/>
      <c r="P89" s="3101"/>
      <c r="Q89" s="3101"/>
      <c r="R89" s="3101"/>
      <c r="S89" s="3102" t="s">
        <v>295</v>
      </c>
      <c r="T89" s="3102" t="s">
        <v>213</v>
      </c>
      <c r="U89" s="3103"/>
      <c r="V89" s="3103" t="s">
        <v>295</v>
      </c>
      <c r="W89" s="3103" t="s">
        <v>145</v>
      </c>
      <c r="X89" s="3103" t="s">
        <v>6800</v>
      </c>
      <c r="Y89" s="3104" t="s">
        <v>119</v>
      </c>
    </row>
    <row r="90" spans="1:25" ht="39" hidden="1">
      <c r="A90" s="1304"/>
      <c r="B90" s="643">
        <v>1221</v>
      </c>
      <c r="C90" s="643">
        <v>122104</v>
      </c>
      <c r="D90" s="3088">
        <v>2</v>
      </c>
      <c r="E90" s="3089" t="str">
        <f t="shared" si="8"/>
        <v>其他应收款</v>
      </c>
      <c r="F90" s="3090" t="s">
        <v>5909</v>
      </c>
      <c r="G90" s="3091">
        <f t="shared" si="9"/>
        <v>0</v>
      </c>
      <c r="H90" s="3092">
        <f t="shared" ca="1" si="12"/>
        <v>0</v>
      </c>
      <c r="I90" s="3094" t="s">
        <v>6803</v>
      </c>
      <c r="J90" s="3073"/>
      <c r="K90" s="3091">
        <f t="shared" si="10"/>
        <v>0</v>
      </c>
      <c r="L90" s="3072">
        <f t="shared" ca="1" si="11"/>
        <v>0</v>
      </c>
      <c r="M90" s="3094" t="s">
        <v>6803</v>
      </c>
      <c r="N90" s="3073"/>
      <c r="O90" s="3100"/>
      <c r="P90" s="3101"/>
      <c r="Q90" s="3101"/>
      <c r="R90" s="3101"/>
      <c r="S90" s="3102" t="s">
        <v>295</v>
      </c>
      <c r="T90" s="3102" t="s">
        <v>213</v>
      </c>
      <c r="U90" s="3103"/>
      <c r="V90" s="3103" t="s">
        <v>295</v>
      </c>
      <c r="W90" s="3103" t="s">
        <v>145</v>
      </c>
      <c r="X90" s="3103" t="s">
        <v>6800</v>
      </c>
      <c r="Y90" s="3104" t="s">
        <v>119</v>
      </c>
    </row>
    <row r="91" spans="1:25" ht="39" hidden="1">
      <c r="A91" s="1304"/>
      <c r="B91" s="643">
        <v>1221</v>
      </c>
      <c r="C91" s="643" t="s">
        <v>584</v>
      </c>
      <c r="D91" s="3088">
        <v>2</v>
      </c>
      <c r="E91" s="3089" t="str">
        <f t="shared" si="8"/>
        <v>其他应收款</v>
      </c>
      <c r="F91" s="3090" t="s">
        <v>585</v>
      </c>
      <c r="G91" s="3091">
        <f t="shared" si="9"/>
        <v>0</v>
      </c>
      <c r="H91" s="3092">
        <f t="shared" ca="1" si="12"/>
        <v>0</v>
      </c>
      <c r="I91" s="3094" t="s">
        <v>6803</v>
      </c>
      <c r="J91" s="3073"/>
      <c r="K91" s="3091">
        <f t="shared" si="10"/>
        <v>0</v>
      </c>
      <c r="L91" s="3072" t="s">
        <v>6799</v>
      </c>
      <c r="M91" s="3094" t="s">
        <v>6803</v>
      </c>
      <c r="N91" s="3073"/>
      <c r="O91" s="3100"/>
      <c r="P91" s="3101"/>
      <c r="Q91" s="3101"/>
      <c r="R91" s="3101"/>
      <c r="S91" s="3102" t="s">
        <v>295</v>
      </c>
      <c r="T91" s="3102" t="s">
        <v>213</v>
      </c>
      <c r="U91" s="3103"/>
      <c r="V91" s="3103" t="s">
        <v>295</v>
      </c>
      <c r="W91" s="3103" t="s">
        <v>6797</v>
      </c>
      <c r="X91" s="3103" t="s">
        <v>6800</v>
      </c>
      <c r="Y91" s="3104" t="s">
        <v>164</v>
      </c>
    </row>
    <row r="92" spans="1:25" ht="26" hidden="1">
      <c r="A92" s="1304"/>
      <c r="B92" s="643">
        <v>1221</v>
      </c>
      <c r="C92" s="643" t="s">
        <v>590</v>
      </c>
      <c r="D92" s="3088">
        <v>2</v>
      </c>
      <c r="E92" s="3089" t="str">
        <f t="shared" si="8"/>
        <v>其他应收款</v>
      </c>
      <c r="F92" s="3090" t="s">
        <v>591</v>
      </c>
      <c r="G92" s="3091">
        <f t="shared" si="9"/>
        <v>0</v>
      </c>
      <c r="H92" s="3092">
        <f t="shared" ca="1" si="12"/>
        <v>0</v>
      </c>
      <c r="I92" s="3094" t="s">
        <v>6803</v>
      </c>
      <c r="J92" s="3073"/>
      <c r="K92" s="3091">
        <f t="shared" si="10"/>
        <v>0</v>
      </c>
      <c r="L92" s="3072">
        <f ca="1">INDIRECT("Notes!CheckB"&amp;$C92)</f>
        <v>0</v>
      </c>
      <c r="M92" s="3094" t="s">
        <v>6803</v>
      </c>
      <c r="N92" s="3073"/>
      <c r="O92" s="3100"/>
      <c r="P92" s="3101"/>
      <c r="Q92" s="3101"/>
      <c r="R92" s="3101"/>
      <c r="S92" s="3102" t="s">
        <v>295</v>
      </c>
      <c r="T92" s="3102" t="s">
        <v>213</v>
      </c>
      <c r="U92" s="3103"/>
      <c r="V92" s="3103" t="s">
        <v>295</v>
      </c>
      <c r="W92" s="3103" t="s">
        <v>6797</v>
      </c>
      <c r="X92" s="3103" t="s">
        <v>6800</v>
      </c>
      <c r="Y92" s="3104" t="s">
        <v>164</v>
      </c>
    </row>
    <row r="93" spans="1:25" ht="26" hidden="1">
      <c r="A93" s="1304"/>
      <c r="B93" s="643">
        <v>1221</v>
      </c>
      <c r="C93" s="643" t="s">
        <v>595</v>
      </c>
      <c r="D93" s="3088">
        <v>2</v>
      </c>
      <c r="E93" s="3089" t="str">
        <f t="shared" si="8"/>
        <v>其他应收款</v>
      </c>
      <c r="F93" s="3090" t="s">
        <v>596</v>
      </c>
      <c r="G93" s="3091">
        <f t="shared" si="9"/>
        <v>0</v>
      </c>
      <c r="H93" s="3092">
        <f t="shared" ca="1" si="12"/>
        <v>0</v>
      </c>
      <c r="I93" s="3094" t="s">
        <v>6803</v>
      </c>
      <c r="J93" s="3073"/>
      <c r="K93" s="3091">
        <f t="shared" si="10"/>
        <v>0</v>
      </c>
      <c r="L93" s="3072" t="s">
        <v>6799</v>
      </c>
      <c r="M93" s="3094" t="s">
        <v>6803</v>
      </c>
      <c r="N93" s="3073"/>
      <c r="O93" s="3100"/>
      <c r="P93" s="3101"/>
      <c r="Q93" s="3101"/>
      <c r="R93" s="3101"/>
      <c r="S93" s="3102" t="s">
        <v>295</v>
      </c>
      <c r="T93" s="3102" t="s">
        <v>213</v>
      </c>
      <c r="U93" s="3103"/>
      <c r="V93" s="3103" t="s">
        <v>295</v>
      </c>
      <c r="W93" s="3103" t="s">
        <v>6797</v>
      </c>
      <c r="X93" s="3103" t="s">
        <v>6800</v>
      </c>
      <c r="Y93" s="3104" t="s">
        <v>164</v>
      </c>
    </row>
    <row r="94" spans="1:25" ht="39" hidden="1">
      <c r="A94" s="1304"/>
      <c r="B94" s="643">
        <v>1221</v>
      </c>
      <c r="C94" s="643" t="s">
        <v>600</v>
      </c>
      <c r="D94" s="3088">
        <v>2</v>
      </c>
      <c r="E94" s="3089" t="str">
        <f t="shared" si="8"/>
        <v>其他应收款</v>
      </c>
      <c r="F94" s="3090" t="s">
        <v>601</v>
      </c>
      <c r="G94" s="3091">
        <f t="shared" si="9"/>
        <v>0</v>
      </c>
      <c r="H94" s="3092">
        <f t="shared" ca="1" si="12"/>
        <v>0</v>
      </c>
      <c r="I94" s="3094" t="s">
        <v>6803</v>
      </c>
      <c r="J94" s="3073"/>
      <c r="K94" s="3091">
        <f t="shared" si="10"/>
        <v>0</v>
      </c>
      <c r="L94" s="3072" t="s">
        <v>6799</v>
      </c>
      <c r="M94" s="3094" t="s">
        <v>6803</v>
      </c>
      <c r="N94" s="3073"/>
      <c r="O94" s="3100"/>
      <c r="P94" s="3101"/>
      <c r="Q94" s="3101"/>
      <c r="R94" s="3101"/>
      <c r="S94" s="3102" t="s">
        <v>295</v>
      </c>
      <c r="T94" s="3102" t="s">
        <v>213</v>
      </c>
      <c r="U94" s="3103"/>
      <c r="V94" s="3103" t="s">
        <v>295</v>
      </c>
      <c r="W94" s="3103" t="s">
        <v>6797</v>
      </c>
      <c r="X94" s="3103" t="s">
        <v>6800</v>
      </c>
      <c r="Y94" s="3104" t="s">
        <v>164</v>
      </c>
    </row>
    <row r="95" spans="1:25" ht="26" hidden="1">
      <c r="A95" s="1304"/>
      <c r="B95" s="643">
        <v>1221</v>
      </c>
      <c r="C95" s="643" t="s">
        <v>605</v>
      </c>
      <c r="D95" s="3088">
        <v>2</v>
      </c>
      <c r="E95" s="3089" t="str">
        <f t="shared" si="8"/>
        <v>其他应收款</v>
      </c>
      <c r="F95" s="3090" t="s">
        <v>606</v>
      </c>
      <c r="G95" s="3091">
        <f t="shared" si="9"/>
        <v>0</v>
      </c>
      <c r="H95" s="3092">
        <f t="shared" ca="1" si="12"/>
        <v>0</v>
      </c>
      <c r="I95" s="3094" t="s">
        <v>6803</v>
      </c>
      <c r="J95" s="3073"/>
      <c r="K95" s="3091">
        <f t="shared" si="10"/>
        <v>0</v>
      </c>
      <c r="L95" s="3072" t="s">
        <v>6799</v>
      </c>
      <c r="M95" s="3094" t="s">
        <v>6803</v>
      </c>
      <c r="N95" s="3073"/>
      <c r="O95" s="3100"/>
      <c r="P95" s="3101"/>
      <c r="Q95" s="3101"/>
      <c r="R95" s="3101"/>
      <c r="S95" s="3102" t="s">
        <v>295</v>
      </c>
      <c r="T95" s="3102" t="s">
        <v>213</v>
      </c>
      <c r="U95" s="3103"/>
      <c r="V95" s="3103" t="s">
        <v>295</v>
      </c>
      <c r="W95" s="3103" t="s">
        <v>6797</v>
      </c>
      <c r="X95" s="3103" t="s">
        <v>6800</v>
      </c>
      <c r="Y95" s="3104" t="s">
        <v>164</v>
      </c>
    </row>
    <row r="96" spans="1:25" ht="26" hidden="1">
      <c r="A96" s="1304"/>
      <c r="B96" s="643">
        <v>1221</v>
      </c>
      <c r="C96" s="643" t="s">
        <v>609</v>
      </c>
      <c r="D96" s="3088">
        <v>2</v>
      </c>
      <c r="E96" s="3089" t="str">
        <f t="shared" si="8"/>
        <v>其他应收款</v>
      </c>
      <c r="F96" s="3090" t="s">
        <v>610</v>
      </c>
      <c r="G96" s="3091">
        <f t="shared" si="9"/>
        <v>0</v>
      </c>
      <c r="H96" s="3092">
        <f t="shared" ca="1" si="12"/>
        <v>0</v>
      </c>
      <c r="I96" s="3094" t="s">
        <v>6803</v>
      </c>
      <c r="J96" s="3073"/>
      <c r="K96" s="3091">
        <f t="shared" si="10"/>
        <v>0</v>
      </c>
      <c r="L96" s="3072" t="s">
        <v>6799</v>
      </c>
      <c r="M96" s="3094" t="s">
        <v>6803</v>
      </c>
      <c r="N96" s="3073"/>
      <c r="O96" s="3100"/>
      <c r="P96" s="3101"/>
      <c r="Q96" s="3101"/>
      <c r="R96" s="3101"/>
      <c r="S96" s="3102" t="s">
        <v>295</v>
      </c>
      <c r="T96" s="3102" t="s">
        <v>213</v>
      </c>
      <c r="U96" s="3103"/>
      <c r="V96" s="3103" t="s">
        <v>295</v>
      </c>
      <c r="W96" s="3103" t="s">
        <v>6797</v>
      </c>
      <c r="X96" s="3103" t="s">
        <v>6800</v>
      </c>
      <c r="Y96" s="3104" t="s">
        <v>164</v>
      </c>
    </row>
    <row r="97" spans="1:25" ht="39" hidden="1">
      <c r="A97" s="1304"/>
      <c r="B97" s="643">
        <v>1221</v>
      </c>
      <c r="C97" s="643" t="s">
        <v>615</v>
      </c>
      <c r="D97" s="3088">
        <v>2</v>
      </c>
      <c r="E97" s="3089" t="str">
        <f t="shared" si="8"/>
        <v>其他应收款</v>
      </c>
      <c r="F97" s="3090" t="s">
        <v>616</v>
      </c>
      <c r="G97" s="3091">
        <f t="shared" si="9"/>
        <v>0</v>
      </c>
      <c r="H97" s="3092">
        <f t="shared" ca="1" si="12"/>
        <v>0</v>
      </c>
      <c r="I97" s="3094" t="s">
        <v>6803</v>
      </c>
      <c r="J97" s="3073"/>
      <c r="K97" s="3091">
        <f t="shared" si="10"/>
        <v>0</v>
      </c>
      <c r="L97" s="3072" t="s">
        <v>6799</v>
      </c>
      <c r="M97" s="3094" t="s">
        <v>6803</v>
      </c>
      <c r="N97" s="3073"/>
      <c r="O97" s="3100"/>
      <c r="P97" s="3101"/>
      <c r="Q97" s="3101"/>
      <c r="R97" s="3101"/>
      <c r="S97" s="3102" t="s">
        <v>295</v>
      </c>
      <c r="T97" s="3102" t="s">
        <v>213</v>
      </c>
      <c r="U97" s="3103"/>
      <c r="V97" s="3103" t="s">
        <v>295</v>
      </c>
      <c r="W97" s="3103" t="s">
        <v>6797</v>
      </c>
      <c r="X97" s="3103" t="s">
        <v>6800</v>
      </c>
      <c r="Y97" s="3104" t="s">
        <v>164</v>
      </c>
    </row>
    <row r="98" spans="1:25" ht="17" hidden="1">
      <c r="A98" s="1304"/>
      <c r="B98" s="643">
        <v>1221</v>
      </c>
      <c r="C98" s="643" t="s">
        <v>629</v>
      </c>
      <c r="D98" s="3088">
        <v>2</v>
      </c>
      <c r="E98" s="3089" t="str">
        <f t="shared" si="8"/>
        <v>其他应收款</v>
      </c>
      <c r="F98" s="3090" t="s">
        <v>630</v>
      </c>
      <c r="G98" s="3091">
        <f t="shared" si="9"/>
        <v>0</v>
      </c>
      <c r="H98" s="3092">
        <f t="shared" ca="1" si="12"/>
        <v>0</v>
      </c>
      <c r="I98" s="3094" t="s">
        <v>6803</v>
      </c>
      <c r="J98" s="3073"/>
      <c r="K98" s="3091">
        <f t="shared" si="10"/>
        <v>0</v>
      </c>
      <c r="L98" s="3072" t="s">
        <v>6799</v>
      </c>
      <c r="M98" s="3094" t="s">
        <v>6803</v>
      </c>
      <c r="N98" s="3073"/>
      <c r="O98" s="3100"/>
      <c r="P98" s="3101"/>
      <c r="Q98" s="3101"/>
      <c r="R98" s="3101"/>
      <c r="S98" s="3102" t="s">
        <v>295</v>
      </c>
      <c r="T98" s="3102" t="s">
        <v>213</v>
      </c>
      <c r="U98" s="3103"/>
      <c r="V98" s="3103" t="s">
        <v>295</v>
      </c>
      <c r="W98" s="3103" t="s">
        <v>6797</v>
      </c>
      <c r="X98" s="3103" t="s">
        <v>213</v>
      </c>
      <c r="Y98" s="3104" t="s">
        <v>164</v>
      </c>
    </row>
    <row r="99" spans="1:25" ht="26" hidden="1">
      <c r="A99" s="1304"/>
      <c r="B99" s="643">
        <v>1221</v>
      </c>
      <c r="C99" s="643" t="s">
        <v>654</v>
      </c>
      <c r="D99" s="3088">
        <v>2</v>
      </c>
      <c r="E99" s="3089" t="str">
        <f t="shared" si="8"/>
        <v>其他应收款</v>
      </c>
      <c r="F99" s="3090" t="s">
        <v>655</v>
      </c>
      <c r="G99" s="3091">
        <f t="shared" si="9"/>
        <v>0</v>
      </c>
      <c r="H99" s="3092">
        <f t="shared" ca="1" si="12"/>
        <v>0</v>
      </c>
      <c r="I99" s="3094" t="s">
        <v>6803</v>
      </c>
      <c r="J99" s="3073"/>
      <c r="K99" s="3091">
        <f t="shared" si="10"/>
        <v>0</v>
      </c>
      <c r="L99" s="3072">
        <f ca="1">INDIRECT("Notes!CheckB"&amp;$C99)</f>
        <v>0</v>
      </c>
      <c r="M99" s="3094" t="s">
        <v>6803</v>
      </c>
      <c r="N99" s="3073"/>
      <c r="O99" s="3100"/>
      <c r="P99" s="3101"/>
      <c r="Q99" s="3101"/>
      <c r="R99" s="3101"/>
      <c r="S99" s="3102" t="s">
        <v>295</v>
      </c>
      <c r="T99" s="3102" t="s">
        <v>213</v>
      </c>
      <c r="U99" s="3103"/>
      <c r="V99" s="3103" t="s">
        <v>295</v>
      </c>
      <c r="W99" s="3103" t="s">
        <v>6797</v>
      </c>
      <c r="X99" s="3103" t="s">
        <v>213</v>
      </c>
      <c r="Y99" s="3104" t="s">
        <v>164</v>
      </c>
    </row>
    <row r="100" spans="1:25" ht="17" hidden="1">
      <c r="A100" s="1304"/>
      <c r="B100" s="643">
        <v>1221</v>
      </c>
      <c r="C100" s="643" t="s">
        <v>663</v>
      </c>
      <c r="D100" s="3088">
        <v>2</v>
      </c>
      <c r="E100" s="3089" t="str">
        <f t="shared" si="8"/>
        <v>其他应收款</v>
      </c>
      <c r="F100" s="3090" t="s">
        <v>664</v>
      </c>
      <c r="G100" s="3091">
        <f t="shared" si="9"/>
        <v>0</v>
      </c>
      <c r="H100" s="3092">
        <f t="shared" ca="1" si="12"/>
        <v>0</v>
      </c>
      <c r="I100" s="3094" t="s">
        <v>6803</v>
      </c>
      <c r="J100" s="3073"/>
      <c r="K100" s="3091">
        <f t="shared" si="10"/>
        <v>0</v>
      </c>
      <c r="L100" s="3072">
        <f ca="1">INDIRECT("Notes!CheckB"&amp;$C100)</f>
        <v>0</v>
      </c>
      <c r="M100" s="3094" t="s">
        <v>6803</v>
      </c>
      <c r="N100" s="3073"/>
      <c r="O100" s="3100"/>
      <c r="P100" s="3101"/>
      <c r="Q100" s="3101"/>
      <c r="R100" s="3101"/>
      <c r="S100" s="3102" t="s">
        <v>295</v>
      </c>
      <c r="T100" s="3102" t="s">
        <v>213</v>
      </c>
      <c r="U100" s="3103"/>
      <c r="V100" s="3103" t="s">
        <v>295</v>
      </c>
      <c r="W100" s="3103" t="s">
        <v>6797</v>
      </c>
      <c r="X100" s="3103" t="s">
        <v>213</v>
      </c>
      <c r="Y100" s="3104" t="s">
        <v>164</v>
      </c>
    </row>
    <row r="101" spans="1:25" ht="17">
      <c r="A101" s="1304"/>
      <c r="B101" s="643">
        <v>1400</v>
      </c>
      <c r="C101" s="643" t="s">
        <v>668</v>
      </c>
      <c r="D101" s="3088">
        <v>1</v>
      </c>
      <c r="E101" s="3089" t="str">
        <f t="shared" si="8"/>
        <v>存货</v>
      </c>
      <c r="F101" s="3090" t="s">
        <v>669</v>
      </c>
      <c r="G101" s="3091">
        <f t="shared" si="9"/>
        <v>0</v>
      </c>
      <c r="H101" s="3092">
        <f t="shared" ca="1" si="12"/>
        <v>0</v>
      </c>
      <c r="I101" s="3094">
        <f ca="1">IF(AND(LEN(G101)&gt;0,LEN(H101)&gt;0),ROUND(SUM(G101)-SUM(H101),2),"")</f>
        <v>0</v>
      </c>
      <c r="J101" s="3073" t="str">
        <f ca="1">IF(ISNA(I101),"N/A",IF(I101=0,"√","？"))</f>
        <v>√</v>
      </c>
      <c r="K101" s="3091">
        <f t="shared" si="10"/>
        <v>0</v>
      </c>
      <c r="L101" s="3072">
        <f ca="1">INDIRECT("Notes!CheckB"&amp;$C101)</f>
        <v>0</v>
      </c>
      <c r="M101" s="3094">
        <f ca="1">IF(AND(LEN(K101)&gt;0,LEN(L101)&gt;0),ROUND(SUM(K101)-SUM(L101),2),"")</f>
        <v>0</v>
      </c>
      <c r="N101" s="3073" t="str">
        <f ca="1">IF(ISNA(M101),"N/A",IF(M101=0,"√","？"))</f>
        <v>√</v>
      </c>
      <c r="O101" s="3100"/>
      <c r="P101" s="3101"/>
      <c r="Q101" s="3101"/>
      <c r="R101" s="3101"/>
      <c r="S101" s="3102" t="s">
        <v>295</v>
      </c>
      <c r="T101" s="3102" t="s">
        <v>213</v>
      </c>
      <c r="U101" s="3103"/>
      <c r="V101" s="3103" t="s">
        <v>295</v>
      </c>
      <c r="W101" s="3103" t="s">
        <v>6797</v>
      </c>
      <c r="X101" s="3103" t="s">
        <v>6798</v>
      </c>
      <c r="Y101" s="3104" t="s">
        <v>164</v>
      </c>
    </row>
    <row r="102" spans="1:25" ht="26" hidden="1">
      <c r="A102" s="1304"/>
      <c r="B102" s="643">
        <v>1400</v>
      </c>
      <c r="C102" s="643" t="s">
        <v>674</v>
      </c>
      <c r="D102" s="3088">
        <v>2</v>
      </c>
      <c r="E102" s="3089" t="str">
        <f t="shared" si="8"/>
        <v>存货</v>
      </c>
      <c r="F102" s="3090" t="s">
        <v>675</v>
      </c>
      <c r="G102" s="3091">
        <f t="shared" si="9"/>
        <v>0</v>
      </c>
      <c r="H102" s="3092" t="s">
        <v>6799</v>
      </c>
      <c r="I102" s="3094" t="s">
        <v>6803</v>
      </c>
      <c r="J102" s="3073"/>
      <c r="K102" s="3091">
        <f t="shared" si="10"/>
        <v>0</v>
      </c>
      <c r="L102" s="3072" t="s">
        <v>6799</v>
      </c>
      <c r="M102" s="3094" t="s">
        <v>6803</v>
      </c>
      <c r="N102" s="3073"/>
      <c r="O102" s="3100"/>
      <c r="P102" s="3101"/>
      <c r="Q102" s="3101"/>
      <c r="R102" s="3101"/>
      <c r="S102" s="3102" t="s">
        <v>295</v>
      </c>
      <c r="T102" s="3102" t="s">
        <v>213</v>
      </c>
      <c r="U102" s="3103"/>
      <c r="V102" s="3103" t="s">
        <v>295</v>
      </c>
      <c r="W102" s="3103" t="s">
        <v>6797</v>
      </c>
      <c r="X102" s="3103" t="s">
        <v>6798</v>
      </c>
      <c r="Y102" s="3104" t="s">
        <v>164</v>
      </c>
    </row>
    <row r="103" spans="1:25" ht="39" hidden="1">
      <c r="A103" s="1304"/>
      <c r="B103" s="643">
        <v>1400</v>
      </c>
      <c r="C103" s="643" t="s">
        <v>678</v>
      </c>
      <c r="D103" s="3088">
        <v>2</v>
      </c>
      <c r="E103" s="3089" t="str">
        <f t="shared" si="8"/>
        <v>存货</v>
      </c>
      <c r="F103" s="3090" t="s">
        <v>679</v>
      </c>
      <c r="G103" s="3091">
        <f t="shared" si="9"/>
        <v>0</v>
      </c>
      <c r="H103" s="3092" t="s">
        <v>6799</v>
      </c>
      <c r="I103" s="3094" t="s">
        <v>6803</v>
      </c>
      <c r="J103" s="3073"/>
      <c r="K103" s="3091">
        <f t="shared" si="10"/>
        <v>0</v>
      </c>
      <c r="L103" s="3072" t="s">
        <v>6799</v>
      </c>
      <c r="M103" s="3094" t="s">
        <v>6803</v>
      </c>
      <c r="N103" s="3073"/>
      <c r="O103" s="3100"/>
      <c r="P103" s="3101"/>
      <c r="Q103" s="3101"/>
      <c r="R103" s="3101"/>
      <c r="S103" s="3102" t="s">
        <v>295</v>
      </c>
      <c r="T103" s="3102" t="s">
        <v>213</v>
      </c>
      <c r="U103" s="3103"/>
      <c r="V103" s="3103" t="s">
        <v>295</v>
      </c>
      <c r="W103" s="3103" t="s">
        <v>6797</v>
      </c>
      <c r="X103" s="3103" t="s">
        <v>213</v>
      </c>
      <c r="Y103" s="3104" t="s">
        <v>164</v>
      </c>
    </row>
    <row r="104" spans="1:25" ht="26" hidden="1">
      <c r="A104" s="1304"/>
      <c r="B104" s="643">
        <v>1400</v>
      </c>
      <c r="C104" s="643" t="s">
        <v>683</v>
      </c>
      <c r="D104" s="3088">
        <v>2</v>
      </c>
      <c r="E104" s="3089" t="str">
        <f t="shared" si="8"/>
        <v>存货</v>
      </c>
      <c r="F104" s="3090" t="s">
        <v>684</v>
      </c>
      <c r="G104" s="3091">
        <f t="shared" si="9"/>
        <v>0</v>
      </c>
      <c r="H104" s="3092">
        <f ca="1">INDIRECT("Notes!CheckA"&amp;$C104)</f>
        <v>0</v>
      </c>
      <c r="I104" s="3094" t="s">
        <v>6803</v>
      </c>
      <c r="J104" s="3073"/>
      <c r="K104" s="3091">
        <f t="shared" si="10"/>
        <v>0</v>
      </c>
      <c r="L104" s="3072" t="s">
        <v>6799</v>
      </c>
      <c r="M104" s="3094" t="s">
        <v>6803</v>
      </c>
      <c r="N104" s="3073"/>
      <c r="O104" s="3100"/>
      <c r="P104" s="3101"/>
      <c r="Q104" s="3101"/>
      <c r="R104" s="3101"/>
      <c r="S104" s="3102" t="s">
        <v>295</v>
      </c>
      <c r="T104" s="3102" t="s">
        <v>213</v>
      </c>
      <c r="U104" s="3103"/>
      <c r="V104" s="3103" t="s">
        <v>295</v>
      </c>
      <c r="W104" s="3103" t="s">
        <v>6797</v>
      </c>
      <c r="X104" s="3103" t="s">
        <v>6800</v>
      </c>
      <c r="Y104" s="3104" t="s">
        <v>164</v>
      </c>
    </row>
    <row r="105" spans="1:25" ht="17" hidden="1">
      <c r="A105" s="1304"/>
      <c r="B105" s="643">
        <v>1400</v>
      </c>
      <c r="C105" s="643" t="s">
        <v>691</v>
      </c>
      <c r="D105" s="3088">
        <v>2</v>
      </c>
      <c r="E105" s="3089" t="str">
        <f t="shared" si="8"/>
        <v>存货</v>
      </c>
      <c r="F105" s="3090" t="s">
        <v>692</v>
      </c>
      <c r="G105" s="3091">
        <f t="shared" si="9"/>
        <v>0</v>
      </c>
      <c r="H105" s="3092" t="s">
        <v>6799</v>
      </c>
      <c r="I105" s="3094" t="s">
        <v>6803</v>
      </c>
      <c r="J105" s="3073"/>
      <c r="K105" s="3091">
        <f t="shared" ref="K105:K136" si="13">IF(ISERROR(VLOOKUP($B105,Sheet_Trialbal,10,0)),"        ----",VLOOKUP($B105,Sheet_Trialbal,10,0))</f>
        <v>0</v>
      </c>
      <c r="L105" s="3072" t="s">
        <v>6799</v>
      </c>
      <c r="M105" s="3094" t="s">
        <v>6803</v>
      </c>
      <c r="N105" s="3073"/>
      <c r="O105" s="3100"/>
      <c r="P105" s="3101"/>
      <c r="Q105" s="3101"/>
      <c r="R105" s="3101"/>
      <c r="S105" s="3102" t="s">
        <v>295</v>
      </c>
      <c r="T105" s="3102" t="s">
        <v>213</v>
      </c>
      <c r="U105" s="3103"/>
      <c r="V105" s="3103" t="s">
        <v>295</v>
      </c>
      <c r="W105" s="3103" t="s">
        <v>6797</v>
      </c>
      <c r="X105" s="3103" t="s">
        <v>6801</v>
      </c>
      <c r="Y105" s="3104" t="s">
        <v>164</v>
      </c>
    </row>
    <row r="106" spans="1:25" ht="17" hidden="1">
      <c r="A106" s="1304"/>
      <c r="B106" s="643">
        <v>1400</v>
      </c>
      <c r="C106" s="643" t="s">
        <v>695</v>
      </c>
      <c r="D106" s="3088">
        <v>2</v>
      </c>
      <c r="E106" s="3089" t="str">
        <f t="shared" si="8"/>
        <v>存货</v>
      </c>
      <c r="F106" s="3090" t="s">
        <v>696</v>
      </c>
      <c r="G106" s="3091">
        <f t="shared" si="9"/>
        <v>0</v>
      </c>
      <c r="H106" s="3092" t="s">
        <v>6799</v>
      </c>
      <c r="I106" s="3094" t="s">
        <v>6803</v>
      </c>
      <c r="J106" s="3073"/>
      <c r="K106" s="3091">
        <f t="shared" si="13"/>
        <v>0</v>
      </c>
      <c r="L106" s="3072" t="s">
        <v>6799</v>
      </c>
      <c r="M106" s="3094" t="s">
        <v>6803</v>
      </c>
      <c r="N106" s="3073"/>
      <c r="O106" s="3100"/>
      <c r="P106" s="3101"/>
      <c r="Q106" s="3101"/>
      <c r="R106" s="3101"/>
      <c r="S106" s="3102" t="s">
        <v>295</v>
      </c>
      <c r="T106" s="3102" t="s">
        <v>213</v>
      </c>
      <c r="U106" s="3103"/>
      <c r="V106" s="3103" t="s">
        <v>295</v>
      </c>
      <c r="W106" s="3103" t="s">
        <v>6797</v>
      </c>
      <c r="X106" s="3103" t="s">
        <v>6801</v>
      </c>
      <c r="Y106" s="3104" t="s">
        <v>164</v>
      </c>
    </row>
    <row r="107" spans="1:25" ht="17" hidden="1">
      <c r="A107" s="1304"/>
      <c r="B107" s="643">
        <v>1400</v>
      </c>
      <c r="C107" s="643" t="s">
        <v>699</v>
      </c>
      <c r="D107" s="3088">
        <v>2</v>
      </c>
      <c r="E107" s="3089" t="str">
        <f t="shared" si="8"/>
        <v>存货</v>
      </c>
      <c r="F107" s="3090" t="s">
        <v>700</v>
      </c>
      <c r="G107" s="3091">
        <f t="shared" si="9"/>
        <v>0</v>
      </c>
      <c r="H107" s="3092" t="s">
        <v>6799</v>
      </c>
      <c r="I107" s="3094" t="s">
        <v>6803</v>
      </c>
      <c r="J107" s="3073"/>
      <c r="K107" s="3091">
        <f t="shared" si="13"/>
        <v>0</v>
      </c>
      <c r="L107" s="3072" t="s">
        <v>6799</v>
      </c>
      <c r="M107" s="3094" t="s">
        <v>6803</v>
      </c>
      <c r="N107" s="3073"/>
      <c r="O107" s="3100"/>
      <c r="P107" s="3101"/>
      <c r="Q107" s="3101"/>
      <c r="R107" s="3101"/>
      <c r="S107" s="3102" t="s">
        <v>295</v>
      </c>
      <c r="T107" s="3102" t="s">
        <v>213</v>
      </c>
      <c r="U107" s="3103"/>
      <c r="V107" s="3103" t="s">
        <v>295</v>
      </c>
      <c r="W107" s="3103" t="s">
        <v>6797</v>
      </c>
      <c r="X107" s="3103" t="s">
        <v>213</v>
      </c>
      <c r="Y107" s="3104" t="s">
        <v>164</v>
      </c>
    </row>
    <row r="108" spans="1:25" ht="26" hidden="1">
      <c r="A108" s="1304"/>
      <c r="B108" s="643">
        <v>1400</v>
      </c>
      <c r="C108" s="643" t="s">
        <v>703</v>
      </c>
      <c r="D108" s="3088">
        <v>2</v>
      </c>
      <c r="E108" s="3089" t="str">
        <f t="shared" si="8"/>
        <v>存货</v>
      </c>
      <c r="F108" s="3090" t="s">
        <v>704</v>
      </c>
      <c r="G108" s="3091">
        <f t="shared" si="9"/>
        <v>0</v>
      </c>
      <c r="H108" s="3092" t="s">
        <v>6799</v>
      </c>
      <c r="I108" s="3094" t="s">
        <v>6803</v>
      </c>
      <c r="J108" s="3073"/>
      <c r="K108" s="3091">
        <f t="shared" si="13"/>
        <v>0</v>
      </c>
      <c r="L108" s="3072" t="s">
        <v>6799</v>
      </c>
      <c r="M108" s="3094" t="s">
        <v>6803</v>
      </c>
      <c r="N108" s="3073"/>
      <c r="O108" s="3100"/>
      <c r="P108" s="3101"/>
      <c r="Q108" s="3101"/>
      <c r="R108" s="3101"/>
      <c r="S108" s="3102" t="s">
        <v>295</v>
      </c>
      <c r="T108" s="3102" t="s">
        <v>213</v>
      </c>
      <c r="U108" s="3103"/>
      <c r="V108" s="3103" t="s">
        <v>295</v>
      </c>
      <c r="W108" s="3103" t="s">
        <v>6797</v>
      </c>
      <c r="X108" s="3103" t="s">
        <v>213</v>
      </c>
      <c r="Y108" s="3104" t="s">
        <v>164</v>
      </c>
    </row>
    <row r="109" spans="1:25" ht="26" hidden="1">
      <c r="A109" s="1304"/>
      <c r="B109" s="643">
        <v>1400</v>
      </c>
      <c r="C109" s="643" t="s">
        <v>687</v>
      </c>
      <c r="D109" s="3088">
        <v>2</v>
      </c>
      <c r="E109" s="3089" t="str">
        <f t="shared" si="8"/>
        <v>存货</v>
      </c>
      <c r="F109" s="3090" t="s">
        <v>688</v>
      </c>
      <c r="G109" s="3091">
        <f t="shared" si="9"/>
        <v>0</v>
      </c>
      <c r="H109" s="3092" t="s">
        <v>6799</v>
      </c>
      <c r="I109" s="3094" t="s">
        <v>6803</v>
      </c>
      <c r="J109" s="3073"/>
      <c r="K109" s="3091">
        <f t="shared" si="13"/>
        <v>0</v>
      </c>
      <c r="L109" s="3072" t="s">
        <v>6799</v>
      </c>
      <c r="M109" s="3094" t="s">
        <v>6803</v>
      </c>
      <c r="N109" s="3073"/>
      <c r="O109" s="3100"/>
      <c r="P109" s="3101"/>
      <c r="Q109" s="3101"/>
      <c r="R109" s="3101"/>
      <c r="S109" s="3102" t="s">
        <v>295</v>
      </c>
      <c r="T109" s="3102" t="s">
        <v>213</v>
      </c>
      <c r="U109" s="3103"/>
      <c r="V109" s="3103" t="s">
        <v>295</v>
      </c>
      <c r="W109" s="3103" t="s">
        <v>6797</v>
      </c>
      <c r="X109" s="3103" t="s">
        <v>213</v>
      </c>
      <c r="Y109" s="3104" t="s">
        <v>164</v>
      </c>
    </row>
    <row r="110" spans="1:25" ht="17" hidden="1">
      <c r="A110" s="1304"/>
      <c r="B110" s="643">
        <v>1400</v>
      </c>
      <c r="C110" s="643" t="s">
        <v>709</v>
      </c>
      <c r="D110" s="3088">
        <v>2</v>
      </c>
      <c r="E110" s="3089" t="str">
        <f t="shared" si="8"/>
        <v>存货</v>
      </c>
      <c r="F110" s="3090" t="s">
        <v>710</v>
      </c>
      <c r="G110" s="3091">
        <f t="shared" si="9"/>
        <v>0</v>
      </c>
      <c r="H110" s="3092" t="s">
        <v>6799</v>
      </c>
      <c r="I110" s="3094" t="s">
        <v>6803</v>
      </c>
      <c r="J110" s="3073"/>
      <c r="K110" s="3091">
        <f t="shared" si="13"/>
        <v>0</v>
      </c>
      <c r="L110" s="3072" t="s">
        <v>6799</v>
      </c>
      <c r="M110" s="3094" t="s">
        <v>6803</v>
      </c>
      <c r="N110" s="3073"/>
      <c r="O110" s="3100"/>
      <c r="P110" s="3101"/>
      <c r="Q110" s="3101"/>
      <c r="R110" s="3101"/>
      <c r="S110" s="3102" t="s">
        <v>295</v>
      </c>
      <c r="T110" s="3102" t="s">
        <v>213</v>
      </c>
      <c r="U110" s="3103"/>
      <c r="V110" s="3103" t="s">
        <v>295</v>
      </c>
      <c r="W110" s="3103" t="s">
        <v>6797</v>
      </c>
      <c r="X110" s="3103" t="s">
        <v>213</v>
      </c>
      <c r="Y110" s="3104" t="s">
        <v>164</v>
      </c>
    </row>
    <row r="111" spans="1:25" ht="26" hidden="1">
      <c r="A111" s="1304"/>
      <c r="B111" s="643">
        <v>1315</v>
      </c>
      <c r="C111" s="643" t="s">
        <v>730</v>
      </c>
      <c r="D111" s="3088">
        <v>2</v>
      </c>
      <c r="E111" s="3089" t="str">
        <f t="shared" si="8"/>
        <v>持有待售资产</v>
      </c>
      <c r="F111" s="3090" t="s">
        <v>715</v>
      </c>
      <c r="G111" s="3091">
        <f t="shared" si="9"/>
        <v>0</v>
      </c>
      <c r="H111" s="3092">
        <f t="shared" ref="H111:H124" ca="1" si="14">INDIRECT("Notes!CheckA"&amp;$C111)</f>
        <v>0</v>
      </c>
      <c r="I111" s="3094" t="s">
        <v>6803</v>
      </c>
      <c r="J111" s="3073"/>
      <c r="K111" s="3091">
        <f t="shared" si="13"/>
        <v>0</v>
      </c>
      <c r="L111" s="3072" t="s">
        <v>6799</v>
      </c>
      <c r="M111" s="3094" t="s">
        <v>6803</v>
      </c>
      <c r="N111" s="3073"/>
      <c r="O111" s="3100"/>
      <c r="P111" s="3101"/>
      <c r="Q111" s="3101"/>
      <c r="R111" s="3101"/>
      <c r="S111" s="3102" t="s">
        <v>295</v>
      </c>
      <c r="T111" s="3102" t="s">
        <v>213</v>
      </c>
      <c r="U111" s="3103"/>
      <c r="V111" s="3103" t="s">
        <v>295</v>
      </c>
      <c r="W111" s="3103" t="s">
        <v>6797</v>
      </c>
      <c r="X111" s="3103" t="s">
        <v>6798</v>
      </c>
      <c r="Y111" s="3104" t="s">
        <v>164</v>
      </c>
    </row>
    <row r="112" spans="1:25" ht="26" hidden="1">
      <c r="A112" s="1304"/>
      <c r="B112" s="643">
        <v>1315</v>
      </c>
      <c r="C112" s="643" t="s">
        <v>721</v>
      </c>
      <c r="D112" s="3088">
        <v>2</v>
      </c>
      <c r="E112" s="3089" t="str">
        <f t="shared" si="8"/>
        <v>持有待售资产</v>
      </c>
      <c r="F112" s="3090" t="s">
        <v>722</v>
      </c>
      <c r="G112" s="3091">
        <f t="shared" si="9"/>
        <v>0</v>
      </c>
      <c r="H112" s="3092">
        <f t="shared" ca="1" si="14"/>
        <v>0</v>
      </c>
      <c r="I112" s="3094" t="s">
        <v>6803</v>
      </c>
      <c r="J112" s="3073"/>
      <c r="K112" s="3091">
        <f t="shared" si="13"/>
        <v>0</v>
      </c>
      <c r="L112" s="3072">
        <f t="shared" ref="L112:L118" ca="1" si="15">INDIRECT("Notes!CheckB"&amp;$C112)</f>
        <v>0</v>
      </c>
      <c r="M112" s="3094" t="s">
        <v>6803</v>
      </c>
      <c r="N112" s="3073"/>
      <c r="O112" s="3100"/>
      <c r="P112" s="3101"/>
      <c r="Q112" s="3101"/>
      <c r="R112" s="3101"/>
      <c r="S112" s="3102" t="s">
        <v>295</v>
      </c>
      <c r="T112" s="3102" t="s">
        <v>213</v>
      </c>
      <c r="U112" s="3103"/>
      <c r="V112" s="3103" t="s">
        <v>295</v>
      </c>
      <c r="W112" s="3103" t="s">
        <v>145</v>
      </c>
      <c r="X112" s="3103" t="s">
        <v>6800</v>
      </c>
      <c r="Y112" s="3104" t="s">
        <v>164</v>
      </c>
    </row>
    <row r="113" spans="1:25" ht="26">
      <c r="A113" s="1304"/>
      <c r="B113" s="643">
        <v>1495</v>
      </c>
      <c r="C113" s="643" t="s">
        <v>747</v>
      </c>
      <c r="D113" s="3088">
        <v>1</v>
      </c>
      <c r="E113" s="3089" t="str">
        <f t="shared" si="8"/>
        <v>一年内到期的非流动资产</v>
      </c>
      <c r="F113" s="3090" t="s">
        <v>748</v>
      </c>
      <c r="G113" s="3091">
        <f t="shared" si="9"/>
        <v>0</v>
      </c>
      <c r="H113" s="3092">
        <f t="shared" ca="1" si="14"/>
        <v>0</v>
      </c>
      <c r="I113" s="3094">
        <f ca="1">IF(AND(LEN(G113)&gt;0,LEN(H113)&gt;0),ROUND(SUM(G113)-SUM(H113),2),"")</f>
        <v>0</v>
      </c>
      <c r="J113" s="3073" t="str">
        <f ca="1">IF(ISNA(I113),"N/A",IF(I113=0,"√","？"))</f>
        <v>√</v>
      </c>
      <c r="K113" s="3091">
        <f t="shared" si="13"/>
        <v>0</v>
      </c>
      <c r="L113" s="3072">
        <f t="shared" ca="1" si="15"/>
        <v>0</v>
      </c>
      <c r="M113" s="3094">
        <f ca="1">IF(AND(LEN(K113)&gt;0,LEN(L113)&gt;0),ROUND(SUM(K113)-SUM(L113),2),"")</f>
        <v>0</v>
      </c>
      <c r="N113" s="3073" t="str">
        <f ca="1">IF(ISNA(M113),"N/A",IF(M113=0,"√","？"))</f>
        <v>√</v>
      </c>
      <c r="O113" s="3100"/>
      <c r="P113" s="3101"/>
      <c r="Q113" s="3101"/>
      <c r="R113" s="3101"/>
      <c r="S113" s="3102" t="s">
        <v>295</v>
      </c>
      <c r="T113" s="3102" t="s">
        <v>213</v>
      </c>
      <c r="U113" s="3103"/>
      <c r="V113" s="3103" t="s">
        <v>295</v>
      </c>
      <c r="W113" s="3103" t="s">
        <v>6797</v>
      </c>
      <c r="X113" s="3103" t="s">
        <v>6798</v>
      </c>
      <c r="Y113" s="3104" t="s">
        <v>164</v>
      </c>
    </row>
    <row r="114" spans="1:25" ht="39" hidden="1">
      <c r="A114" s="1304"/>
      <c r="B114" s="643">
        <v>1495</v>
      </c>
      <c r="C114" s="643" t="s">
        <v>752</v>
      </c>
      <c r="D114" s="3088">
        <v>2</v>
      </c>
      <c r="E114" s="3089" t="str">
        <f t="shared" si="8"/>
        <v>一年内到期的非流动资产</v>
      </c>
      <c r="F114" s="3090" t="s">
        <v>753</v>
      </c>
      <c r="G114" s="3091">
        <f t="shared" si="9"/>
        <v>0</v>
      </c>
      <c r="H114" s="3092">
        <f t="shared" ca="1" si="14"/>
        <v>0</v>
      </c>
      <c r="I114" s="3094" t="s">
        <v>6803</v>
      </c>
      <c r="J114" s="3073"/>
      <c r="K114" s="3091">
        <f t="shared" si="13"/>
        <v>0</v>
      </c>
      <c r="L114" s="3072">
        <f t="shared" ca="1" si="15"/>
        <v>0</v>
      </c>
      <c r="M114" s="3094" t="s">
        <v>6803</v>
      </c>
      <c r="N114" s="3073"/>
      <c r="O114" s="3100"/>
      <c r="P114" s="3101"/>
      <c r="Q114" s="3101"/>
      <c r="R114" s="3101"/>
      <c r="S114" s="3102" t="s">
        <v>295</v>
      </c>
      <c r="T114" s="3102" t="s">
        <v>213</v>
      </c>
      <c r="U114" s="3103"/>
      <c r="V114" s="3103" t="s">
        <v>295</v>
      </c>
      <c r="W114" s="3103" t="s">
        <v>145</v>
      </c>
      <c r="X114" s="3103" t="s">
        <v>6800</v>
      </c>
      <c r="Y114" s="3104" t="s">
        <v>119</v>
      </c>
    </row>
    <row r="115" spans="1:25" ht="17">
      <c r="A115" s="1304"/>
      <c r="B115" s="643">
        <v>1496</v>
      </c>
      <c r="C115" s="643" t="s">
        <v>756</v>
      </c>
      <c r="D115" s="3088">
        <v>1</v>
      </c>
      <c r="E115" s="3089" t="str">
        <f t="shared" si="8"/>
        <v>其他流动资产</v>
      </c>
      <c r="F115" s="3090" t="s">
        <v>757</v>
      </c>
      <c r="G115" s="3091">
        <f t="shared" si="9"/>
        <v>480</v>
      </c>
      <c r="H115" s="3092">
        <f t="shared" ca="1" si="14"/>
        <v>480</v>
      </c>
      <c r="I115" s="3094">
        <f ca="1">IF(AND(LEN(G115)&gt;0,LEN(H115)&gt;0),ROUND(SUM(G115)-SUM(H115),2),"")</f>
        <v>0</v>
      </c>
      <c r="J115" s="3073" t="str">
        <f ca="1">IF(ISNA(I115),"N/A",IF(I115=0,"√","？"))</f>
        <v>√</v>
      </c>
      <c r="K115" s="3091">
        <f t="shared" si="13"/>
        <v>480</v>
      </c>
      <c r="L115" s="3072">
        <f t="shared" ca="1" si="15"/>
        <v>480</v>
      </c>
      <c r="M115" s="3094">
        <f ca="1">IF(AND(LEN(K115)&gt;0,LEN(L115)&gt;0),ROUND(SUM(K115)-SUM(L115),2),"")</f>
        <v>0</v>
      </c>
      <c r="N115" s="3073" t="str">
        <f ca="1">IF(ISNA(M115),"N/A",IF(M115=0,"√","？"))</f>
        <v>√</v>
      </c>
      <c r="O115" s="3100"/>
      <c r="P115" s="3101"/>
      <c r="Q115" s="3101"/>
      <c r="R115" s="3101"/>
      <c r="S115" s="3102" t="s">
        <v>295</v>
      </c>
      <c r="T115" s="3102" t="s">
        <v>213</v>
      </c>
      <c r="U115" s="3103"/>
      <c r="V115" s="3103" t="s">
        <v>295</v>
      </c>
      <c r="W115" s="3103" t="s">
        <v>6797</v>
      </c>
      <c r="X115" s="3103" t="s">
        <v>6798</v>
      </c>
      <c r="Y115" s="3104" t="s">
        <v>164</v>
      </c>
    </row>
    <row r="116" spans="1:25" ht="17">
      <c r="A116" s="1304"/>
      <c r="B116" s="643">
        <v>1505</v>
      </c>
      <c r="C116" s="643" t="s">
        <v>762</v>
      </c>
      <c r="D116" s="3088">
        <v>1</v>
      </c>
      <c r="E116" s="3089" t="str">
        <f t="shared" si="8"/>
        <v>债权投资</v>
      </c>
      <c r="F116" s="3090" t="s">
        <v>763</v>
      </c>
      <c r="G116" s="3091">
        <f t="shared" si="9"/>
        <v>0</v>
      </c>
      <c r="H116" s="3092">
        <f t="shared" ca="1" si="14"/>
        <v>0</v>
      </c>
      <c r="I116" s="3094">
        <f ca="1">IF(AND(LEN(G116)&gt;0,LEN(H116)&gt;0),ROUND(SUM(G116)-SUM(H116),2),"")</f>
        <v>0</v>
      </c>
      <c r="J116" s="3073" t="str">
        <f ca="1">IF(ISNA(I116),"N/A",IF(I116=0,"√","？"))</f>
        <v>√</v>
      </c>
      <c r="K116" s="3091">
        <f t="shared" si="13"/>
        <v>0</v>
      </c>
      <c r="L116" s="3072">
        <f t="shared" ca="1" si="15"/>
        <v>0</v>
      </c>
      <c r="M116" s="3094">
        <f ca="1">IF(AND(LEN(K116)&gt;0,LEN(L116)&gt;0),ROUND(SUM(K116)-SUM(L116),2),"")</f>
        <v>0</v>
      </c>
      <c r="N116" s="3073" t="str">
        <f ca="1">IF(ISNA(M116),"N/A",IF(M116=0,"√","？"))</f>
        <v>√</v>
      </c>
      <c r="O116" s="3100"/>
      <c r="P116" s="3101"/>
      <c r="Q116" s="3101"/>
      <c r="R116" s="3101"/>
      <c r="S116" s="3102" t="s">
        <v>295</v>
      </c>
      <c r="T116" s="3102" t="s">
        <v>213</v>
      </c>
      <c r="U116" s="3103"/>
      <c r="V116" s="3103" t="s">
        <v>295</v>
      </c>
      <c r="W116" s="3103" t="s">
        <v>145</v>
      </c>
      <c r="X116" s="3103" t="s">
        <v>6800</v>
      </c>
      <c r="Y116" s="3104" t="s">
        <v>119</v>
      </c>
    </row>
    <row r="117" spans="1:25" ht="17" hidden="1">
      <c r="A117" s="1304"/>
      <c r="B117" s="643">
        <v>1505</v>
      </c>
      <c r="C117" s="643" t="s">
        <v>768</v>
      </c>
      <c r="D117" s="3088">
        <v>2</v>
      </c>
      <c r="E117" s="3089" t="str">
        <f t="shared" si="8"/>
        <v>债权投资</v>
      </c>
      <c r="F117" s="3090" t="s">
        <v>769</v>
      </c>
      <c r="G117" s="3091">
        <f t="shared" si="9"/>
        <v>0</v>
      </c>
      <c r="H117" s="3092">
        <f t="shared" ca="1" si="14"/>
        <v>0</v>
      </c>
      <c r="I117" s="3094" t="s">
        <v>6803</v>
      </c>
      <c r="J117" s="3073"/>
      <c r="K117" s="3091">
        <f t="shared" si="13"/>
        <v>0</v>
      </c>
      <c r="L117" s="3072">
        <f t="shared" ca="1" si="15"/>
        <v>0</v>
      </c>
      <c r="M117" s="3094" t="s">
        <v>6803</v>
      </c>
      <c r="N117" s="3073"/>
      <c r="O117" s="3100"/>
      <c r="P117" s="3101"/>
      <c r="Q117" s="3101"/>
      <c r="R117" s="3101"/>
      <c r="S117" s="3102" t="s">
        <v>295</v>
      </c>
      <c r="T117" s="3102" t="s">
        <v>213</v>
      </c>
      <c r="U117" s="3103"/>
      <c r="V117" s="3103" t="s">
        <v>295</v>
      </c>
      <c r="W117" s="3103" t="s">
        <v>145</v>
      </c>
      <c r="X117" s="3103" t="s">
        <v>6800</v>
      </c>
      <c r="Y117" s="3104" t="s">
        <v>119</v>
      </c>
    </row>
    <row r="118" spans="1:25" ht="39" hidden="1">
      <c r="A118" s="1304"/>
      <c r="B118" s="643">
        <v>1505</v>
      </c>
      <c r="C118" s="643" t="s">
        <v>773</v>
      </c>
      <c r="D118" s="3088">
        <v>2</v>
      </c>
      <c r="E118" s="3089" t="str">
        <f t="shared" si="8"/>
        <v>债权投资</v>
      </c>
      <c r="F118" s="3090" t="s">
        <v>6439</v>
      </c>
      <c r="G118" s="3091">
        <f t="shared" si="9"/>
        <v>0</v>
      </c>
      <c r="H118" s="3092">
        <f t="shared" ca="1" si="14"/>
        <v>0</v>
      </c>
      <c r="I118" s="3094" t="s">
        <v>6803</v>
      </c>
      <c r="J118" s="3073"/>
      <c r="K118" s="3091">
        <f t="shared" si="13"/>
        <v>0</v>
      </c>
      <c r="L118" s="3072">
        <f t="shared" ca="1" si="15"/>
        <v>0</v>
      </c>
      <c r="M118" s="3094" t="s">
        <v>6803</v>
      </c>
      <c r="N118" s="3073"/>
      <c r="O118" s="3100"/>
      <c r="P118" s="3101"/>
      <c r="Q118" s="3101"/>
      <c r="R118" s="3101"/>
      <c r="S118" s="3102" t="s">
        <v>295</v>
      </c>
      <c r="T118" s="3102" t="s">
        <v>213</v>
      </c>
      <c r="U118" s="3103"/>
      <c r="V118" s="3103" t="s">
        <v>295</v>
      </c>
      <c r="W118" s="3103" t="s">
        <v>145</v>
      </c>
      <c r="X118" s="3103" t="s">
        <v>6800</v>
      </c>
      <c r="Y118" s="3104" t="s">
        <v>119</v>
      </c>
    </row>
    <row r="119" spans="1:25" ht="26" hidden="1">
      <c r="A119" s="1304"/>
      <c r="B119" s="643">
        <v>1505</v>
      </c>
      <c r="C119" s="643" t="s">
        <v>788</v>
      </c>
      <c r="D119" s="3088">
        <v>2</v>
      </c>
      <c r="E119" s="3089" t="str">
        <f t="shared" si="8"/>
        <v>债权投资</v>
      </c>
      <c r="F119" s="3090" t="s">
        <v>789</v>
      </c>
      <c r="G119" s="3091">
        <f t="shared" si="9"/>
        <v>0</v>
      </c>
      <c r="H119" s="3092">
        <f t="shared" ca="1" si="14"/>
        <v>0</v>
      </c>
      <c r="I119" s="3094" t="s">
        <v>6803</v>
      </c>
      <c r="J119" s="3073"/>
      <c r="K119" s="3091">
        <f t="shared" si="13"/>
        <v>0</v>
      </c>
      <c r="L119" s="3072" t="s">
        <v>6799</v>
      </c>
      <c r="M119" s="3094" t="s">
        <v>6803</v>
      </c>
      <c r="N119" s="3073"/>
      <c r="O119" s="3100"/>
      <c r="P119" s="3101"/>
      <c r="Q119" s="3101"/>
      <c r="R119" s="3101"/>
      <c r="S119" s="3102" t="s">
        <v>295</v>
      </c>
      <c r="T119" s="3102" t="s">
        <v>213</v>
      </c>
      <c r="U119" s="3103"/>
      <c r="V119" s="3103" t="s">
        <v>295</v>
      </c>
      <c r="W119" s="3103" t="s">
        <v>145</v>
      </c>
      <c r="X119" s="3103" t="s">
        <v>6800</v>
      </c>
      <c r="Y119" s="3104" t="s">
        <v>119</v>
      </c>
    </row>
    <row r="120" spans="1:25" ht="26" hidden="1">
      <c r="A120" s="1304"/>
      <c r="B120" s="643">
        <v>1505</v>
      </c>
      <c r="C120" s="643" t="s">
        <v>792</v>
      </c>
      <c r="D120" s="3088">
        <v>2</v>
      </c>
      <c r="E120" s="3089" t="str">
        <f t="shared" si="8"/>
        <v>债权投资</v>
      </c>
      <c r="F120" s="3090" t="s">
        <v>793</v>
      </c>
      <c r="G120" s="3091">
        <f t="shared" si="9"/>
        <v>0</v>
      </c>
      <c r="H120" s="3092">
        <f t="shared" ca="1" si="14"/>
        <v>0</v>
      </c>
      <c r="I120" s="3094" t="s">
        <v>6803</v>
      </c>
      <c r="J120" s="3073"/>
      <c r="K120" s="3091">
        <f t="shared" si="13"/>
        <v>0</v>
      </c>
      <c r="L120" s="3072" t="s">
        <v>6799</v>
      </c>
      <c r="M120" s="3094" t="s">
        <v>6803</v>
      </c>
      <c r="N120" s="3073"/>
      <c r="O120" s="3100"/>
      <c r="P120" s="3101"/>
      <c r="Q120" s="3101"/>
      <c r="R120" s="3101"/>
      <c r="S120" s="3102" t="s">
        <v>295</v>
      </c>
      <c r="T120" s="3102" t="s">
        <v>213</v>
      </c>
      <c r="U120" s="3103"/>
      <c r="V120" s="3103" t="s">
        <v>295</v>
      </c>
      <c r="W120" s="3103" t="s">
        <v>145</v>
      </c>
      <c r="X120" s="3103" t="s">
        <v>6800</v>
      </c>
      <c r="Y120" s="3104" t="s">
        <v>119</v>
      </c>
    </row>
    <row r="121" spans="1:25" ht="26" hidden="1">
      <c r="A121" s="1304"/>
      <c r="B121" s="643">
        <v>1505</v>
      </c>
      <c r="C121" s="643" t="s">
        <v>795</v>
      </c>
      <c r="D121" s="3088">
        <v>2</v>
      </c>
      <c r="E121" s="3089" t="str">
        <f t="shared" si="8"/>
        <v>债权投资</v>
      </c>
      <c r="F121" s="3090" t="s">
        <v>796</v>
      </c>
      <c r="G121" s="3091">
        <f t="shared" si="9"/>
        <v>0</v>
      </c>
      <c r="H121" s="3092">
        <f t="shared" ca="1" si="14"/>
        <v>0</v>
      </c>
      <c r="I121" s="3094" t="s">
        <v>6803</v>
      </c>
      <c r="J121" s="3073"/>
      <c r="K121" s="3091">
        <f t="shared" si="13"/>
        <v>0</v>
      </c>
      <c r="L121" s="3072" t="s">
        <v>6799</v>
      </c>
      <c r="M121" s="3094" t="s">
        <v>6803</v>
      </c>
      <c r="N121" s="3073"/>
      <c r="O121" s="3100"/>
      <c r="P121" s="3101"/>
      <c r="Q121" s="3101"/>
      <c r="R121" s="3101"/>
      <c r="S121" s="3102" t="s">
        <v>295</v>
      </c>
      <c r="T121" s="3102" t="s">
        <v>213</v>
      </c>
      <c r="U121" s="3103"/>
      <c r="V121" s="3103" t="s">
        <v>295</v>
      </c>
      <c r="W121" s="3103" t="s">
        <v>145</v>
      </c>
      <c r="X121" s="3103" t="s">
        <v>6800</v>
      </c>
      <c r="Y121" s="3104" t="s">
        <v>119</v>
      </c>
    </row>
    <row r="122" spans="1:25" ht="26" hidden="1">
      <c r="A122" s="1304"/>
      <c r="B122" s="643">
        <v>1505</v>
      </c>
      <c r="C122" s="643" t="s">
        <v>799</v>
      </c>
      <c r="D122" s="3088">
        <v>2</v>
      </c>
      <c r="E122" s="3089" t="str">
        <f t="shared" si="8"/>
        <v>债权投资</v>
      </c>
      <c r="F122" s="3090" t="s">
        <v>785</v>
      </c>
      <c r="G122" s="3091">
        <f t="shared" si="9"/>
        <v>0</v>
      </c>
      <c r="H122" s="3092">
        <f t="shared" ca="1" si="14"/>
        <v>0</v>
      </c>
      <c r="I122" s="3094" t="s">
        <v>6803</v>
      </c>
      <c r="J122" s="3073"/>
      <c r="K122" s="3091">
        <f t="shared" si="13"/>
        <v>0</v>
      </c>
      <c r="L122" s="3072">
        <f ca="1">INDIRECT("Notes!CheckB"&amp;$C122)</f>
        <v>0</v>
      </c>
      <c r="M122" s="3094" t="s">
        <v>6803</v>
      </c>
      <c r="N122" s="3073"/>
      <c r="O122" s="3100"/>
      <c r="P122" s="3101"/>
      <c r="Q122" s="3101"/>
      <c r="R122" s="3101"/>
      <c r="S122" s="3102" t="s">
        <v>295</v>
      </c>
      <c r="T122" s="3102" t="s">
        <v>213</v>
      </c>
      <c r="U122" s="3103"/>
      <c r="V122" s="3103" t="s">
        <v>295</v>
      </c>
      <c r="W122" s="3103" t="s">
        <v>145</v>
      </c>
      <c r="X122" s="3103" t="s">
        <v>6800</v>
      </c>
      <c r="Y122" s="3104" t="s">
        <v>119</v>
      </c>
    </row>
    <row r="123" spans="1:25" ht="39" hidden="1">
      <c r="A123" s="1304"/>
      <c r="B123" s="643">
        <v>1505</v>
      </c>
      <c r="C123" s="643" t="s">
        <v>784</v>
      </c>
      <c r="D123" s="3088">
        <v>2</v>
      </c>
      <c r="E123" s="3089" t="str">
        <f t="shared" si="8"/>
        <v>债权投资</v>
      </c>
      <c r="F123" s="3090" t="s">
        <v>5962</v>
      </c>
      <c r="G123" s="3091">
        <f t="shared" si="9"/>
        <v>0</v>
      </c>
      <c r="H123" s="3092">
        <f t="shared" ca="1" si="14"/>
        <v>0</v>
      </c>
      <c r="I123" s="3094" t="s">
        <v>6803</v>
      </c>
      <c r="J123" s="3073"/>
      <c r="K123" s="3091">
        <f t="shared" si="13"/>
        <v>0</v>
      </c>
      <c r="L123" s="3072" t="s">
        <v>6799</v>
      </c>
      <c r="M123" s="3094" t="s">
        <v>6803</v>
      </c>
      <c r="N123" s="3073"/>
      <c r="O123" s="3100"/>
      <c r="P123" s="3101"/>
      <c r="Q123" s="3101"/>
      <c r="R123" s="3101"/>
      <c r="S123" s="3102" t="s">
        <v>295</v>
      </c>
      <c r="T123" s="3102" t="s">
        <v>213</v>
      </c>
      <c r="U123" s="3103"/>
      <c r="V123" s="3103" t="s">
        <v>295</v>
      </c>
      <c r="W123" s="3103" t="s">
        <v>145</v>
      </c>
      <c r="X123" s="3103" t="s">
        <v>6800</v>
      </c>
      <c r="Y123" s="3104" t="s">
        <v>119</v>
      </c>
    </row>
    <row r="124" spans="1:25" ht="17">
      <c r="A124" s="1304"/>
      <c r="B124" s="643">
        <v>1503</v>
      </c>
      <c r="C124" s="643" t="s">
        <v>804</v>
      </c>
      <c r="D124" s="3088">
        <v>1</v>
      </c>
      <c r="E124" s="3089" t="str">
        <f t="shared" si="8"/>
        <v>可供出售金融资产</v>
      </c>
      <c r="F124" s="3090" t="s">
        <v>805</v>
      </c>
      <c r="G124" s="3091">
        <f t="shared" si="9"/>
        <v>0</v>
      </c>
      <c r="H124" s="3092">
        <f t="shared" ca="1" si="14"/>
        <v>0</v>
      </c>
      <c r="I124" s="3094">
        <f ca="1">IF(AND(LEN(G124)&gt;0,LEN(H124)&gt;0),ROUND(SUM(G124)-SUM(H124),2),"")</f>
        <v>0</v>
      </c>
      <c r="J124" s="3073" t="str">
        <f ca="1">IF(ISNA(I124),"N/A",IF(I124=0,"√","？"))</f>
        <v>√</v>
      </c>
      <c r="K124" s="3091">
        <f t="shared" si="13"/>
        <v>0</v>
      </c>
      <c r="L124" s="3072">
        <f ca="1">INDIRECT("Notes!CheckB"&amp;$C124)</f>
        <v>0</v>
      </c>
      <c r="M124" s="3094">
        <f ca="1">IF(AND(LEN(K124)&gt;0,LEN(L124)&gt;0),ROUND(SUM(K124)-SUM(L124),2),"")</f>
        <v>0</v>
      </c>
      <c r="N124" s="3073" t="str">
        <f ca="1">IF(ISNA(M124),"N/A",IF(M124=0,"√","？"))</f>
        <v>√</v>
      </c>
      <c r="O124" s="3100"/>
      <c r="P124" s="3101"/>
      <c r="Q124" s="3101"/>
      <c r="R124" s="3101"/>
      <c r="S124" s="3102" t="s">
        <v>295</v>
      </c>
      <c r="T124" s="3102" t="s">
        <v>213</v>
      </c>
      <c r="U124" s="3103"/>
      <c r="V124" s="3103" t="s">
        <v>295</v>
      </c>
      <c r="W124" s="3103" t="s">
        <v>6797</v>
      </c>
      <c r="X124" s="3103" t="s">
        <v>6798</v>
      </c>
      <c r="Y124" s="3104" t="s">
        <v>164</v>
      </c>
    </row>
    <row r="125" spans="1:25" ht="26" hidden="1">
      <c r="A125" s="1304"/>
      <c r="B125" s="643">
        <v>1503</v>
      </c>
      <c r="C125" s="643" t="s">
        <v>830</v>
      </c>
      <c r="D125" s="3088">
        <v>2</v>
      </c>
      <c r="E125" s="3089" t="str">
        <f t="shared" si="8"/>
        <v>可供出售金融资产</v>
      </c>
      <c r="F125" s="3090" t="s">
        <v>831</v>
      </c>
      <c r="G125" s="3091">
        <f t="shared" si="9"/>
        <v>0</v>
      </c>
      <c r="H125" s="3092" t="s">
        <v>6799</v>
      </c>
      <c r="I125" s="3094" t="s">
        <v>6803</v>
      </c>
      <c r="J125" s="3073"/>
      <c r="K125" s="3091">
        <f t="shared" si="13"/>
        <v>0</v>
      </c>
      <c r="L125" s="3072" t="s">
        <v>6799</v>
      </c>
      <c r="M125" s="3094" t="s">
        <v>6803</v>
      </c>
      <c r="N125" s="3073"/>
      <c r="O125" s="3100"/>
      <c r="P125" s="3101"/>
      <c r="Q125" s="3101"/>
      <c r="R125" s="3101"/>
      <c r="S125" s="3102" t="s">
        <v>295</v>
      </c>
      <c r="T125" s="3102" t="s">
        <v>213</v>
      </c>
      <c r="U125" s="3103"/>
      <c r="V125" s="3103" t="s">
        <v>295</v>
      </c>
      <c r="W125" s="3103" t="s">
        <v>145</v>
      </c>
      <c r="X125" s="3103" t="s">
        <v>6800</v>
      </c>
      <c r="Y125" s="3104" t="s">
        <v>164</v>
      </c>
    </row>
    <row r="126" spans="1:25" ht="26" hidden="1">
      <c r="A126" s="1304"/>
      <c r="B126" s="643">
        <v>1503</v>
      </c>
      <c r="C126" s="643" t="s">
        <v>813</v>
      </c>
      <c r="D126" s="3088">
        <v>2</v>
      </c>
      <c r="E126" s="3089" t="str">
        <f t="shared" si="8"/>
        <v>可供出售金融资产</v>
      </c>
      <c r="F126" s="3090" t="s">
        <v>814</v>
      </c>
      <c r="G126" s="3091">
        <f t="shared" si="9"/>
        <v>0</v>
      </c>
      <c r="H126" s="3092" t="s">
        <v>6799</v>
      </c>
      <c r="I126" s="3094" t="s">
        <v>6803</v>
      </c>
      <c r="J126" s="3073"/>
      <c r="K126" s="3091">
        <f t="shared" si="13"/>
        <v>0</v>
      </c>
      <c r="L126" s="3072" t="s">
        <v>6799</v>
      </c>
      <c r="M126" s="3094" t="s">
        <v>6803</v>
      </c>
      <c r="N126" s="3073"/>
      <c r="O126" s="3100"/>
      <c r="P126" s="3101"/>
      <c r="Q126" s="3101"/>
      <c r="R126" s="3101"/>
      <c r="S126" s="3102" t="s">
        <v>295</v>
      </c>
      <c r="T126" s="3102" t="s">
        <v>213</v>
      </c>
      <c r="U126" s="3103"/>
      <c r="V126" s="3103" t="s">
        <v>295</v>
      </c>
      <c r="W126" s="3103" t="s">
        <v>145</v>
      </c>
      <c r="X126" s="3103" t="s">
        <v>6800</v>
      </c>
      <c r="Y126" s="3104" t="s">
        <v>164</v>
      </c>
    </row>
    <row r="127" spans="1:25" ht="26" hidden="1">
      <c r="A127" s="1304"/>
      <c r="B127" s="643">
        <v>1503</v>
      </c>
      <c r="C127" s="643" t="s">
        <v>817</v>
      </c>
      <c r="D127" s="3088">
        <v>2</v>
      </c>
      <c r="E127" s="3089" t="str">
        <f t="shared" si="8"/>
        <v>可供出售金融资产</v>
      </c>
      <c r="F127" s="3090" t="s">
        <v>818</v>
      </c>
      <c r="G127" s="3091">
        <f t="shared" si="9"/>
        <v>0</v>
      </c>
      <c r="H127" s="3092" t="s">
        <v>6799</v>
      </c>
      <c r="I127" s="3094" t="s">
        <v>6803</v>
      </c>
      <c r="J127" s="3073"/>
      <c r="K127" s="3091">
        <f t="shared" si="13"/>
        <v>0</v>
      </c>
      <c r="L127" s="3072" t="s">
        <v>6799</v>
      </c>
      <c r="M127" s="3094" t="s">
        <v>6803</v>
      </c>
      <c r="N127" s="3073"/>
      <c r="O127" s="3100"/>
      <c r="P127" s="3101"/>
      <c r="Q127" s="3101"/>
      <c r="R127" s="3101"/>
      <c r="S127" s="3102" t="s">
        <v>295</v>
      </c>
      <c r="T127" s="3102" t="s">
        <v>213</v>
      </c>
      <c r="U127" s="3103"/>
      <c r="V127" s="3103" t="s">
        <v>295</v>
      </c>
      <c r="W127" s="3103" t="s">
        <v>145</v>
      </c>
      <c r="X127" s="3103" t="s">
        <v>6800</v>
      </c>
      <c r="Y127" s="3104" t="s">
        <v>164</v>
      </c>
    </row>
    <row r="128" spans="1:25" ht="26" hidden="1">
      <c r="A128" s="1304"/>
      <c r="B128" s="643">
        <v>1503</v>
      </c>
      <c r="C128" s="643" t="s">
        <v>821</v>
      </c>
      <c r="D128" s="3088">
        <v>2</v>
      </c>
      <c r="E128" s="3089" t="str">
        <f t="shared" si="8"/>
        <v>可供出售金融资产</v>
      </c>
      <c r="F128" s="3090" t="s">
        <v>822</v>
      </c>
      <c r="G128" s="3091">
        <f t="shared" si="9"/>
        <v>0</v>
      </c>
      <c r="H128" s="3092">
        <f ca="1">INDIRECT("Notes!CheckA"&amp;$C128)</f>
        <v>0</v>
      </c>
      <c r="I128" s="3094" t="s">
        <v>6803</v>
      </c>
      <c r="J128" s="3073"/>
      <c r="K128" s="3091">
        <f t="shared" si="13"/>
        <v>0</v>
      </c>
      <c r="L128" s="3072" t="s">
        <v>6799</v>
      </c>
      <c r="M128" s="3094" t="s">
        <v>6803</v>
      </c>
      <c r="N128" s="3073"/>
      <c r="O128" s="3100"/>
      <c r="P128" s="3101"/>
      <c r="Q128" s="3101"/>
      <c r="R128" s="3101"/>
      <c r="S128" s="3102" t="s">
        <v>295</v>
      </c>
      <c r="T128" s="3102" t="s">
        <v>213</v>
      </c>
      <c r="U128" s="3103"/>
      <c r="V128" s="3103" t="s">
        <v>295</v>
      </c>
      <c r="W128" s="3103" t="s">
        <v>145</v>
      </c>
      <c r="X128" s="3103" t="s">
        <v>6800</v>
      </c>
      <c r="Y128" s="3104" t="s">
        <v>164</v>
      </c>
    </row>
    <row r="129" spans="1:25" ht="52" hidden="1">
      <c r="A129" s="1304"/>
      <c r="B129" s="643">
        <v>1503</v>
      </c>
      <c r="C129" s="643" t="s">
        <v>825</v>
      </c>
      <c r="D129" s="3088">
        <v>2</v>
      </c>
      <c r="E129" s="3089" t="str">
        <f t="shared" si="8"/>
        <v>可供出售金融资产</v>
      </c>
      <c r="F129" s="3090" t="s">
        <v>826</v>
      </c>
      <c r="G129" s="3091">
        <f t="shared" si="9"/>
        <v>0</v>
      </c>
      <c r="H129" s="3092" t="s">
        <v>6799</v>
      </c>
      <c r="I129" s="3094" t="s">
        <v>6803</v>
      </c>
      <c r="J129" s="3073"/>
      <c r="K129" s="3091">
        <f t="shared" si="13"/>
        <v>0</v>
      </c>
      <c r="L129" s="3072" t="s">
        <v>6799</v>
      </c>
      <c r="M129" s="3094" t="s">
        <v>6803</v>
      </c>
      <c r="N129" s="3073"/>
      <c r="O129" s="3100"/>
      <c r="P129" s="3101"/>
      <c r="Q129" s="3101"/>
      <c r="R129" s="3101"/>
      <c r="S129" s="3102" t="s">
        <v>295</v>
      </c>
      <c r="T129" s="3102" t="s">
        <v>213</v>
      </c>
      <c r="U129" s="3103"/>
      <c r="V129" s="3103" t="s">
        <v>295</v>
      </c>
      <c r="W129" s="3103" t="s">
        <v>145</v>
      </c>
      <c r="X129" s="3103" t="s">
        <v>6800</v>
      </c>
      <c r="Y129" s="3104" t="s">
        <v>164</v>
      </c>
    </row>
    <row r="130" spans="1:25" ht="17">
      <c r="A130" s="1304"/>
      <c r="B130" s="643">
        <v>1508</v>
      </c>
      <c r="C130" s="643" t="s">
        <v>847</v>
      </c>
      <c r="D130" s="3088">
        <v>1</v>
      </c>
      <c r="E130" s="3089" t="str">
        <f t="shared" si="8"/>
        <v>其他债权投资</v>
      </c>
      <c r="F130" s="3090" t="s">
        <v>848</v>
      </c>
      <c r="G130" s="3091">
        <f t="shared" si="9"/>
        <v>0</v>
      </c>
      <c r="H130" s="3092">
        <f t="shared" ref="H130:H138" ca="1" si="16">INDIRECT("Notes!CheckA"&amp;$C130)</f>
        <v>0</v>
      </c>
      <c r="I130" s="3094">
        <f ca="1">IF(AND(LEN(G130)&gt;0,LEN(H130)&gt;0),ROUND(SUM(G130)-SUM(H130),2),"")</f>
        <v>0</v>
      </c>
      <c r="J130" s="3073" t="str">
        <f ca="1">IF(ISNA(I130),"N/A",IF(I130=0,"√","？"))</f>
        <v>√</v>
      </c>
      <c r="K130" s="3091">
        <f t="shared" si="13"/>
        <v>0</v>
      </c>
      <c r="L130" s="3072">
        <f ca="1">INDIRECT("Notes!CheckB"&amp;$C130)</f>
        <v>0</v>
      </c>
      <c r="M130" s="3094">
        <f ca="1">IF(AND(LEN(K130)&gt;0,LEN(L130)&gt;0),ROUND(SUM(K130)-SUM(L130),2),"")</f>
        <v>0</v>
      </c>
      <c r="N130" s="3073" t="str">
        <f ca="1">IF(ISNA(M130),"N/A",IF(M130=0,"√","？"))</f>
        <v>√</v>
      </c>
      <c r="O130" s="3100"/>
      <c r="P130" s="3101"/>
      <c r="Q130" s="3101"/>
      <c r="R130" s="3101"/>
      <c r="S130" s="3102" t="s">
        <v>295</v>
      </c>
      <c r="T130" s="3102" t="s">
        <v>213</v>
      </c>
      <c r="U130" s="3103"/>
      <c r="V130" s="3103" t="s">
        <v>295</v>
      </c>
      <c r="W130" s="3103" t="s">
        <v>145</v>
      </c>
      <c r="X130" s="3103" t="s">
        <v>6800</v>
      </c>
      <c r="Y130" s="3104" t="s">
        <v>119</v>
      </c>
    </row>
    <row r="131" spans="1:25" ht="26" hidden="1">
      <c r="A131" s="1304"/>
      <c r="B131" s="643">
        <v>1508</v>
      </c>
      <c r="C131" s="643" t="s">
        <v>853</v>
      </c>
      <c r="D131" s="3088">
        <v>2</v>
      </c>
      <c r="E131" s="3089" t="str">
        <f t="shared" si="8"/>
        <v>其他债权投资</v>
      </c>
      <c r="F131" s="3090" t="s">
        <v>854</v>
      </c>
      <c r="G131" s="3091">
        <f t="shared" si="9"/>
        <v>0</v>
      </c>
      <c r="H131" s="3092">
        <f t="shared" ca="1" si="16"/>
        <v>0</v>
      </c>
      <c r="I131" s="3094" t="s">
        <v>6803</v>
      </c>
      <c r="J131" s="3073"/>
      <c r="K131" s="3091">
        <f t="shared" si="13"/>
        <v>0</v>
      </c>
      <c r="L131" s="3072">
        <f ca="1">INDIRECT("Notes!CheckB"&amp;$C131)</f>
        <v>0</v>
      </c>
      <c r="M131" s="3094" t="s">
        <v>6803</v>
      </c>
      <c r="N131" s="3073"/>
      <c r="O131" s="3100"/>
      <c r="P131" s="3101"/>
      <c r="Q131" s="3101"/>
      <c r="R131" s="3101"/>
      <c r="S131" s="3102" t="s">
        <v>295</v>
      </c>
      <c r="T131" s="3102" t="s">
        <v>213</v>
      </c>
      <c r="U131" s="3103"/>
      <c r="V131" s="3103" t="s">
        <v>295</v>
      </c>
      <c r="W131" s="3103" t="s">
        <v>145</v>
      </c>
      <c r="X131" s="3103" t="s">
        <v>6800</v>
      </c>
      <c r="Y131" s="3104" t="s">
        <v>119</v>
      </c>
    </row>
    <row r="132" spans="1:25" ht="39" hidden="1">
      <c r="A132" s="1304"/>
      <c r="B132" s="643">
        <v>1508</v>
      </c>
      <c r="C132" s="643" t="s">
        <v>859</v>
      </c>
      <c r="D132" s="3088">
        <v>2</v>
      </c>
      <c r="E132" s="3089" t="str">
        <f t="shared" si="8"/>
        <v>其他债权投资</v>
      </c>
      <c r="F132" s="3090" t="s">
        <v>6440</v>
      </c>
      <c r="G132" s="3091">
        <f t="shared" si="9"/>
        <v>0</v>
      </c>
      <c r="H132" s="3092">
        <f t="shared" ca="1" si="16"/>
        <v>0</v>
      </c>
      <c r="I132" s="3094" t="s">
        <v>6803</v>
      </c>
      <c r="J132" s="3073"/>
      <c r="K132" s="3091">
        <f t="shared" si="13"/>
        <v>0</v>
      </c>
      <c r="L132" s="3072" t="s">
        <v>6799</v>
      </c>
      <c r="M132" s="3094" t="s">
        <v>6803</v>
      </c>
      <c r="N132" s="3073"/>
      <c r="O132" s="3100"/>
      <c r="P132" s="3101"/>
      <c r="Q132" s="3101"/>
      <c r="R132" s="3101"/>
      <c r="S132" s="3102" t="s">
        <v>295</v>
      </c>
      <c r="T132" s="3102" t="s">
        <v>213</v>
      </c>
      <c r="U132" s="3103"/>
      <c r="V132" s="3103" t="s">
        <v>295</v>
      </c>
      <c r="W132" s="3103" t="s">
        <v>145</v>
      </c>
      <c r="X132" s="3103" t="s">
        <v>6800</v>
      </c>
      <c r="Y132" s="3104" t="s">
        <v>119</v>
      </c>
    </row>
    <row r="133" spans="1:25" ht="26" hidden="1">
      <c r="A133" s="1304"/>
      <c r="B133" s="643">
        <v>1508</v>
      </c>
      <c r="C133" s="643" t="s">
        <v>885</v>
      </c>
      <c r="D133" s="3088">
        <v>2</v>
      </c>
      <c r="E133" s="3089" t="str">
        <f t="shared" si="8"/>
        <v>其他债权投资</v>
      </c>
      <c r="F133" s="3090" t="s">
        <v>886</v>
      </c>
      <c r="G133" s="3091">
        <f t="shared" si="9"/>
        <v>0</v>
      </c>
      <c r="H133" s="3092">
        <f t="shared" ca="1" si="16"/>
        <v>0</v>
      </c>
      <c r="I133" s="3094" t="s">
        <v>6803</v>
      </c>
      <c r="J133" s="3073"/>
      <c r="K133" s="3091">
        <f t="shared" si="13"/>
        <v>0</v>
      </c>
      <c r="L133" s="3072" t="s">
        <v>6799</v>
      </c>
      <c r="M133" s="3094" t="s">
        <v>6803</v>
      </c>
      <c r="N133" s="3073"/>
      <c r="O133" s="3100"/>
      <c r="P133" s="3101"/>
      <c r="Q133" s="3101"/>
      <c r="R133" s="3101"/>
      <c r="S133" s="3102" t="s">
        <v>295</v>
      </c>
      <c r="T133" s="3102" t="s">
        <v>213</v>
      </c>
      <c r="U133" s="3103"/>
      <c r="V133" s="3103" t="s">
        <v>295</v>
      </c>
      <c r="W133" s="3103" t="s">
        <v>145</v>
      </c>
      <c r="X133" s="3103" t="s">
        <v>6800</v>
      </c>
      <c r="Y133" s="3104" t="s">
        <v>119</v>
      </c>
    </row>
    <row r="134" spans="1:25" ht="26" hidden="1">
      <c r="A134" s="1304"/>
      <c r="B134" s="643">
        <v>1508</v>
      </c>
      <c r="C134" s="643" t="s">
        <v>889</v>
      </c>
      <c r="D134" s="3088">
        <v>2</v>
      </c>
      <c r="E134" s="3089" t="str">
        <f t="shared" si="8"/>
        <v>其他债权投资</v>
      </c>
      <c r="F134" s="3090" t="s">
        <v>890</v>
      </c>
      <c r="G134" s="3091">
        <f t="shared" si="9"/>
        <v>0</v>
      </c>
      <c r="H134" s="3092">
        <f t="shared" ca="1" si="16"/>
        <v>0</v>
      </c>
      <c r="I134" s="3094" t="s">
        <v>6803</v>
      </c>
      <c r="J134" s="3073"/>
      <c r="K134" s="3091">
        <f t="shared" si="13"/>
        <v>0</v>
      </c>
      <c r="L134" s="3072" t="s">
        <v>6799</v>
      </c>
      <c r="M134" s="3094" t="s">
        <v>6803</v>
      </c>
      <c r="N134" s="3073"/>
      <c r="O134" s="3100"/>
      <c r="P134" s="3101"/>
      <c r="Q134" s="3101"/>
      <c r="R134" s="3101"/>
      <c r="S134" s="3102" t="s">
        <v>295</v>
      </c>
      <c r="T134" s="3102" t="s">
        <v>213</v>
      </c>
      <c r="U134" s="3103"/>
      <c r="V134" s="3103" t="s">
        <v>295</v>
      </c>
      <c r="W134" s="3103" t="s">
        <v>145</v>
      </c>
      <c r="X134" s="3103" t="s">
        <v>6800</v>
      </c>
      <c r="Y134" s="3104" t="s">
        <v>119</v>
      </c>
    </row>
    <row r="135" spans="1:25" ht="26" hidden="1">
      <c r="A135" s="1304"/>
      <c r="B135" s="643">
        <v>1508</v>
      </c>
      <c r="C135" s="643" t="s">
        <v>894</v>
      </c>
      <c r="D135" s="3088">
        <v>2</v>
      </c>
      <c r="E135" s="3089" t="str">
        <f t="shared" si="8"/>
        <v>其他债权投资</v>
      </c>
      <c r="F135" s="3090" t="s">
        <v>895</v>
      </c>
      <c r="G135" s="3091">
        <f t="shared" si="9"/>
        <v>0</v>
      </c>
      <c r="H135" s="3092">
        <f t="shared" ca="1" si="16"/>
        <v>0</v>
      </c>
      <c r="I135" s="3094" t="s">
        <v>6803</v>
      </c>
      <c r="J135" s="3073"/>
      <c r="K135" s="3091">
        <f t="shared" si="13"/>
        <v>0</v>
      </c>
      <c r="L135" s="3072" t="s">
        <v>6799</v>
      </c>
      <c r="M135" s="3094" t="s">
        <v>6803</v>
      </c>
      <c r="N135" s="3073"/>
      <c r="O135" s="3100"/>
      <c r="P135" s="3101"/>
      <c r="Q135" s="3101"/>
      <c r="R135" s="3101"/>
      <c r="S135" s="3102" t="s">
        <v>295</v>
      </c>
      <c r="T135" s="3102" t="s">
        <v>213</v>
      </c>
      <c r="U135" s="3103"/>
      <c r="V135" s="3103" t="s">
        <v>295</v>
      </c>
      <c r="W135" s="3103" t="s">
        <v>145</v>
      </c>
      <c r="X135" s="3103" t="s">
        <v>6800</v>
      </c>
      <c r="Y135" s="3104" t="s">
        <v>119</v>
      </c>
    </row>
    <row r="136" spans="1:25" ht="26" hidden="1">
      <c r="A136" s="1304"/>
      <c r="B136" s="643">
        <v>1508</v>
      </c>
      <c r="C136" s="643" t="s">
        <v>898</v>
      </c>
      <c r="D136" s="3088">
        <v>2</v>
      </c>
      <c r="E136" s="3089" t="str">
        <f t="shared" si="8"/>
        <v>其他债权投资</v>
      </c>
      <c r="F136" s="3090" t="s">
        <v>881</v>
      </c>
      <c r="G136" s="3091">
        <f t="shared" si="9"/>
        <v>0</v>
      </c>
      <c r="H136" s="3092">
        <f t="shared" ca="1" si="16"/>
        <v>0</v>
      </c>
      <c r="I136" s="3094" t="s">
        <v>6803</v>
      </c>
      <c r="J136" s="3073"/>
      <c r="K136" s="3091">
        <f t="shared" si="13"/>
        <v>0</v>
      </c>
      <c r="L136" s="3072" t="s">
        <v>6799</v>
      </c>
      <c r="M136" s="3094" t="s">
        <v>6803</v>
      </c>
      <c r="N136" s="3073"/>
      <c r="O136" s="3100"/>
      <c r="P136" s="3101"/>
      <c r="Q136" s="3101"/>
      <c r="R136" s="3101"/>
      <c r="S136" s="3102" t="s">
        <v>295</v>
      </c>
      <c r="T136" s="3102" t="s">
        <v>213</v>
      </c>
      <c r="U136" s="3103"/>
      <c r="V136" s="3103" t="s">
        <v>295</v>
      </c>
      <c r="W136" s="3103" t="s">
        <v>145</v>
      </c>
      <c r="X136" s="3103" t="s">
        <v>6800</v>
      </c>
      <c r="Y136" s="3104" t="s">
        <v>119</v>
      </c>
    </row>
    <row r="137" spans="1:25" ht="39" hidden="1">
      <c r="A137" s="1304"/>
      <c r="B137" s="643">
        <v>1508</v>
      </c>
      <c r="C137" s="643" t="s">
        <v>880</v>
      </c>
      <c r="D137" s="3088">
        <v>2</v>
      </c>
      <c r="E137" s="3089" t="str">
        <f t="shared" ref="E137:E200" si="17">IF(ISERROR(VLOOKUP($B137,Sheet_Items,2,0)),"        ----",VLOOKUP($B137,Sheet_Items,2,0))</f>
        <v>其他债权投资</v>
      </c>
      <c r="F137" s="3090" t="s">
        <v>5961</v>
      </c>
      <c r="G137" s="3091">
        <f t="shared" ref="G137:G200" si="18">IF(ISERROR(VLOOKUP($B137,Sheet_Trialbal,6,0)),"        ----",VLOOKUP($B137,Sheet_Trialbal,6,0))</f>
        <v>0</v>
      </c>
      <c r="H137" s="3092">
        <f t="shared" ca="1" si="16"/>
        <v>0</v>
      </c>
      <c r="I137" s="3094" t="s">
        <v>6803</v>
      </c>
      <c r="J137" s="3073"/>
      <c r="K137" s="3091">
        <f t="shared" ref="K137:K157" si="19">IF(ISERROR(VLOOKUP($B137,Sheet_Trialbal,10,0)),"        ----",VLOOKUP($B137,Sheet_Trialbal,10,0))</f>
        <v>0</v>
      </c>
      <c r="L137" s="3072" t="s">
        <v>6799</v>
      </c>
      <c r="M137" s="3094" t="s">
        <v>6803</v>
      </c>
      <c r="N137" s="3073"/>
      <c r="O137" s="3100"/>
      <c r="P137" s="3101"/>
      <c r="Q137" s="3101"/>
      <c r="R137" s="3101"/>
      <c r="S137" s="3102" t="s">
        <v>295</v>
      </c>
      <c r="T137" s="3102" t="s">
        <v>213</v>
      </c>
      <c r="U137" s="3103"/>
      <c r="V137" s="3103" t="s">
        <v>295</v>
      </c>
      <c r="W137" s="3103" t="s">
        <v>145</v>
      </c>
      <c r="X137" s="3103" t="s">
        <v>6800</v>
      </c>
      <c r="Y137" s="3104" t="s">
        <v>119</v>
      </c>
    </row>
    <row r="138" spans="1:25" ht="17">
      <c r="A138" s="1304"/>
      <c r="B138" s="643">
        <v>1501</v>
      </c>
      <c r="C138" s="643" t="s">
        <v>902</v>
      </c>
      <c r="D138" s="3088">
        <v>1</v>
      </c>
      <c r="E138" s="3089" t="str">
        <f t="shared" si="17"/>
        <v>持有至到期投资</v>
      </c>
      <c r="F138" s="3090" t="s">
        <v>903</v>
      </c>
      <c r="G138" s="3091">
        <f t="shared" si="18"/>
        <v>0</v>
      </c>
      <c r="H138" s="3092">
        <f t="shared" ca="1" si="16"/>
        <v>0</v>
      </c>
      <c r="I138" s="3094">
        <f ca="1">IF(AND(LEN(G138)&gt;0,LEN(H138)&gt;0),ROUND(SUM(G138)-SUM(H138),2),"")</f>
        <v>0</v>
      </c>
      <c r="J138" s="3073" t="str">
        <f ca="1">IF(ISNA(I138),"N/A",IF(I138=0,"√","？"))</f>
        <v>√</v>
      </c>
      <c r="K138" s="3091">
        <f t="shared" si="19"/>
        <v>0</v>
      </c>
      <c r="L138" s="3072">
        <f ca="1">INDIRECT("Notes!CheckB"&amp;$C138)</f>
        <v>0</v>
      </c>
      <c r="M138" s="3094">
        <f ca="1">IF(AND(LEN(K138)&gt;0,LEN(L138)&gt;0),ROUND(SUM(K138)-SUM(L138),2),"")</f>
        <v>0</v>
      </c>
      <c r="N138" s="3073" t="str">
        <f ca="1">IF(ISNA(M138),"N/A",IF(M138=0,"√","？"))</f>
        <v>√</v>
      </c>
      <c r="O138" s="3100"/>
      <c r="P138" s="3101"/>
      <c r="Q138" s="3101"/>
      <c r="R138" s="3101"/>
      <c r="S138" s="3102" t="s">
        <v>295</v>
      </c>
      <c r="T138" s="3102" t="s">
        <v>213</v>
      </c>
      <c r="U138" s="3103"/>
      <c r="V138" s="3103" t="s">
        <v>295</v>
      </c>
      <c r="W138" s="3103" t="s">
        <v>6797</v>
      </c>
      <c r="X138" s="3103" t="s">
        <v>6798</v>
      </c>
      <c r="Y138" s="3104" t="s">
        <v>164</v>
      </c>
    </row>
    <row r="139" spans="1:25" ht="17" hidden="1">
      <c r="A139" s="1304"/>
      <c r="B139" s="643">
        <v>1501</v>
      </c>
      <c r="C139" s="643" t="s">
        <v>910</v>
      </c>
      <c r="D139" s="3088">
        <v>2</v>
      </c>
      <c r="E139" s="3089" t="str">
        <f t="shared" si="17"/>
        <v>持有至到期投资</v>
      </c>
      <c r="F139" s="3090" t="s">
        <v>911</v>
      </c>
      <c r="G139" s="3091">
        <f t="shared" si="18"/>
        <v>0</v>
      </c>
      <c r="H139" s="3092" t="s">
        <v>6799</v>
      </c>
      <c r="I139" s="3094" t="s">
        <v>6803</v>
      </c>
      <c r="J139" s="3073"/>
      <c r="K139" s="3091">
        <f t="shared" si="19"/>
        <v>0</v>
      </c>
      <c r="L139" s="3072" t="s">
        <v>6799</v>
      </c>
      <c r="M139" s="3094" t="s">
        <v>6803</v>
      </c>
      <c r="N139" s="3073"/>
      <c r="O139" s="3100"/>
      <c r="P139" s="3101"/>
      <c r="Q139" s="3101"/>
      <c r="R139" s="3101"/>
      <c r="S139" s="3102" t="s">
        <v>295</v>
      </c>
      <c r="T139" s="3102" t="s">
        <v>213</v>
      </c>
      <c r="U139" s="3103"/>
      <c r="V139" s="3103" t="s">
        <v>295</v>
      </c>
      <c r="W139" s="3103" t="s">
        <v>6797</v>
      </c>
      <c r="X139" s="3103" t="s">
        <v>6798</v>
      </c>
      <c r="Y139" s="3104" t="s">
        <v>164</v>
      </c>
    </row>
    <row r="140" spans="1:25" ht="26" hidden="1">
      <c r="A140" s="1304"/>
      <c r="B140" s="643">
        <v>1501</v>
      </c>
      <c r="C140" s="643" t="s">
        <v>917</v>
      </c>
      <c r="D140" s="3088">
        <v>2</v>
      </c>
      <c r="E140" s="3089" t="str">
        <f t="shared" si="17"/>
        <v>持有至到期投资</v>
      </c>
      <c r="F140" s="3090" t="s">
        <v>6441</v>
      </c>
      <c r="G140" s="3091">
        <f t="shared" si="18"/>
        <v>0</v>
      </c>
      <c r="H140" s="3092" t="s">
        <v>6799</v>
      </c>
      <c r="I140" s="3094" t="s">
        <v>6803</v>
      </c>
      <c r="J140" s="3073"/>
      <c r="K140" s="3091">
        <f t="shared" si="19"/>
        <v>0</v>
      </c>
      <c r="L140" s="3072" t="s">
        <v>6799</v>
      </c>
      <c r="M140" s="3094" t="s">
        <v>6803</v>
      </c>
      <c r="N140" s="3073"/>
      <c r="O140" s="3100"/>
      <c r="P140" s="3101"/>
      <c r="Q140" s="3101"/>
      <c r="R140" s="3101"/>
      <c r="S140" s="3102" t="s">
        <v>295</v>
      </c>
      <c r="T140" s="3102" t="s">
        <v>213</v>
      </c>
      <c r="U140" s="3103"/>
      <c r="V140" s="3103" t="s">
        <v>295</v>
      </c>
      <c r="W140" s="3103" t="s">
        <v>6802</v>
      </c>
      <c r="X140" s="3103" t="s">
        <v>213</v>
      </c>
      <c r="Y140" s="3104" t="s">
        <v>164</v>
      </c>
    </row>
    <row r="141" spans="1:25" ht="17" hidden="1">
      <c r="A141" s="1304"/>
      <c r="B141" s="643">
        <v>1501</v>
      </c>
      <c r="C141" s="643" t="s">
        <v>5588</v>
      </c>
      <c r="D141" s="3088">
        <v>2</v>
      </c>
      <c r="E141" s="3089" t="str">
        <f t="shared" si="17"/>
        <v>持有至到期投资</v>
      </c>
      <c r="F141" s="3090" t="s">
        <v>5589</v>
      </c>
      <c r="G141" s="3091">
        <f t="shared" si="18"/>
        <v>0</v>
      </c>
      <c r="H141" s="3092">
        <f t="shared" ref="H141:H147" ca="1" si="20">INDIRECT("Notes!CheckA"&amp;$C141)</f>
        <v>0</v>
      </c>
      <c r="I141" s="3094" t="s">
        <v>6803</v>
      </c>
      <c r="J141" s="3073"/>
      <c r="K141" s="3091">
        <f t="shared" si="19"/>
        <v>0</v>
      </c>
      <c r="L141" s="3072">
        <f ca="1">INDIRECT("Notes!CheckB"&amp;$C141)</f>
        <v>0</v>
      </c>
      <c r="M141" s="3094" t="s">
        <v>6803</v>
      </c>
      <c r="N141" s="3073"/>
      <c r="O141" s="3100"/>
      <c r="P141" s="3101"/>
      <c r="Q141" s="3101"/>
      <c r="R141" s="3101"/>
      <c r="S141" s="3102" t="s">
        <v>295</v>
      </c>
      <c r="T141" s="3102" t="s">
        <v>213</v>
      </c>
      <c r="U141" s="3103"/>
      <c r="V141" s="3103" t="s">
        <v>295</v>
      </c>
      <c r="W141" s="3103" t="s">
        <v>6802</v>
      </c>
      <c r="X141" s="3103" t="s">
        <v>213</v>
      </c>
      <c r="Y141" s="3104" t="s">
        <v>164</v>
      </c>
    </row>
    <row r="142" spans="1:25" ht="17">
      <c r="A142" s="1304"/>
      <c r="B142" s="643">
        <v>1531</v>
      </c>
      <c r="C142" s="643" t="s">
        <v>923</v>
      </c>
      <c r="D142" s="3088">
        <v>1</v>
      </c>
      <c r="E142" s="3089" t="str">
        <f t="shared" si="17"/>
        <v>长期应收款</v>
      </c>
      <c r="F142" s="3090" t="s">
        <v>924</v>
      </c>
      <c r="G142" s="3091">
        <f t="shared" si="18"/>
        <v>0</v>
      </c>
      <c r="H142" s="3092">
        <f t="shared" ca="1" si="20"/>
        <v>0</v>
      </c>
      <c r="I142" s="3094">
        <f ca="1">IF(AND(LEN(G142)&gt;0,LEN(H142)&gt;0),ROUND(SUM(G142)-SUM(H142),2),"")</f>
        <v>0</v>
      </c>
      <c r="J142" s="3073" t="str">
        <f ca="1">IF(ISNA(I142),"N/A",IF(I142=0,"√","？"))</f>
        <v>√</v>
      </c>
      <c r="K142" s="3091">
        <f t="shared" si="19"/>
        <v>0</v>
      </c>
      <c r="L142" s="3072">
        <f ca="1">INDIRECT("Notes!CheckB"&amp;$C142)</f>
        <v>0</v>
      </c>
      <c r="M142" s="3094">
        <f ca="1">IF(AND(LEN(K142)&gt;0,LEN(L142)&gt;0),ROUND(SUM(K142)-SUM(L142),2),"")</f>
        <v>0</v>
      </c>
      <c r="N142" s="3073" t="str">
        <f ca="1">IF(ISNA(M142),"N/A",IF(M142=0,"√","？"))</f>
        <v>√</v>
      </c>
      <c r="O142" s="3100"/>
      <c r="P142" s="3101"/>
      <c r="Q142" s="3101"/>
      <c r="R142" s="3101"/>
      <c r="S142" s="3102" t="s">
        <v>295</v>
      </c>
      <c r="T142" s="3102" t="s">
        <v>213</v>
      </c>
      <c r="U142" s="3103"/>
      <c r="V142" s="3103" t="s">
        <v>295</v>
      </c>
      <c r="W142" s="3103" t="s">
        <v>6797</v>
      </c>
      <c r="X142" s="3103" t="s">
        <v>6798</v>
      </c>
      <c r="Y142" s="3104" t="s">
        <v>164</v>
      </c>
    </row>
    <row r="143" spans="1:25" ht="39" hidden="1">
      <c r="A143" s="1304"/>
      <c r="B143" s="643">
        <v>1531</v>
      </c>
      <c r="C143" s="643" t="s">
        <v>5920</v>
      </c>
      <c r="D143" s="3088">
        <v>2</v>
      </c>
      <c r="E143" s="3089" t="str">
        <f t="shared" si="17"/>
        <v>长期应收款</v>
      </c>
      <c r="F143" s="3090" t="s">
        <v>6442</v>
      </c>
      <c r="G143" s="3091">
        <f t="shared" si="18"/>
        <v>0</v>
      </c>
      <c r="H143" s="3092">
        <f t="shared" ca="1" si="20"/>
        <v>0</v>
      </c>
      <c r="I143" s="3094" t="s">
        <v>6803</v>
      </c>
      <c r="J143" s="3073"/>
      <c r="K143" s="3091">
        <f t="shared" si="19"/>
        <v>0</v>
      </c>
      <c r="L143" s="3072" t="s">
        <v>6799</v>
      </c>
      <c r="M143" s="3094" t="s">
        <v>6803</v>
      </c>
      <c r="N143" s="3073"/>
      <c r="O143" s="3100"/>
      <c r="P143" s="3101"/>
      <c r="Q143" s="3101"/>
      <c r="R143" s="3101"/>
      <c r="S143" s="3102" t="s">
        <v>295</v>
      </c>
      <c r="T143" s="3102" t="s">
        <v>213</v>
      </c>
      <c r="U143" s="3103"/>
      <c r="V143" s="3103" t="s">
        <v>295</v>
      </c>
      <c r="W143" s="3103" t="s">
        <v>145</v>
      </c>
      <c r="X143" s="3103" t="s">
        <v>6800</v>
      </c>
      <c r="Y143" s="3104" t="s">
        <v>119</v>
      </c>
    </row>
    <row r="144" spans="1:25" ht="39" hidden="1">
      <c r="A144" s="1304"/>
      <c r="B144" s="643">
        <v>1531</v>
      </c>
      <c r="C144" s="643" t="s">
        <v>928</v>
      </c>
      <c r="D144" s="3088">
        <v>2</v>
      </c>
      <c r="E144" s="3089" t="str">
        <f t="shared" si="17"/>
        <v>长期应收款</v>
      </c>
      <c r="F144" s="3090" t="s">
        <v>5954</v>
      </c>
      <c r="G144" s="3091">
        <f t="shared" si="18"/>
        <v>0</v>
      </c>
      <c r="H144" s="3092">
        <f t="shared" ca="1" si="20"/>
        <v>0</v>
      </c>
      <c r="I144" s="3094" t="s">
        <v>6803</v>
      </c>
      <c r="J144" s="3073"/>
      <c r="K144" s="3091">
        <f t="shared" si="19"/>
        <v>0</v>
      </c>
      <c r="L144" s="3072" t="s">
        <v>6799</v>
      </c>
      <c r="M144" s="3094" t="s">
        <v>6803</v>
      </c>
      <c r="N144" s="3073"/>
      <c r="O144" s="3100"/>
      <c r="P144" s="3101"/>
      <c r="Q144" s="3101"/>
      <c r="R144" s="3101"/>
      <c r="S144" s="3102" t="s">
        <v>295</v>
      </c>
      <c r="T144" s="3102" t="s">
        <v>213</v>
      </c>
      <c r="U144" s="3103"/>
      <c r="V144" s="3103" t="s">
        <v>295</v>
      </c>
      <c r="W144" s="3103" t="s">
        <v>145</v>
      </c>
      <c r="X144" s="3103" t="s">
        <v>6800</v>
      </c>
      <c r="Y144" s="3104" t="s">
        <v>119</v>
      </c>
    </row>
    <row r="145" spans="1:25" ht="39" hidden="1">
      <c r="A145" s="1304"/>
      <c r="B145" s="643">
        <v>1531</v>
      </c>
      <c r="C145" s="643" t="s">
        <v>931</v>
      </c>
      <c r="D145" s="3088">
        <v>2</v>
      </c>
      <c r="E145" s="3089" t="str">
        <f t="shared" si="17"/>
        <v>长期应收款</v>
      </c>
      <c r="F145" s="3090" t="s">
        <v>5955</v>
      </c>
      <c r="G145" s="3091">
        <f t="shared" si="18"/>
        <v>0</v>
      </c>
      <c r="H145" s="3092">
        <f t="shared" ca="1" si="20"/>
        <v>0</v>
      </c>
      <c r="I145" s="3094" t="s">
        <v>6803</v>
      </c>
      <c r="J145" s="3073"/>
      <c r="K145" s="3091">
        <f t="shared" si="19"/>
        <v>0</v>
      </c>
      <c r="L145" s="3072" t="s">
        <v>6799</v>
      </c>
      <c r="M145" s="3094" t="s">
        <v>6803</v>
      </c>
      <c r="N145" s="3073"/>
      <c r="O145" s="3100"/>
      <c r="P145" s="3101"/>
      <c r="Q145" s="3101"/>
      <c r="R145" s="3101"/>
      <c r="S145" s="3102" t="s">
        <v>295</v>
      </c>
      <c r="T145" s="3102" t="s">
        <v>213</v>
      </c>
      <c r="U145" s="3103"/>
      <c r="V145" s="3103" t="s">
        <v>295</v>
      </c>
      <c r="W145" s="3103" t="s">
        <v>145</v>
      </c>
      <c r="X145" s="3103" t="s">
        <v>6800</v>
      </c>
      <c r="Y145" s="3104" t="s">
        <v>119</v>
      </c>
    </row>
    <row r="146" spans="1:25" ht="39" hidden="1">
      <c r="A146" s="1304"/>
      <c r="B146" s="643">
        <v>1531</v>
      </c>
      <c r="C146" s="643" t="s">
        <v>934</v>
      </c>
      <c r="D146" s="3088">
        <v>2</v>
      </c>
      <c r="E146" s="3089" t="str">
        <f t="shared" si="17"/>
        <v>长期应收款</v>
      </c>
      <c r="F146" s="3090" t="s">
        <v>5956</v>
      </c>
      <c r="G146" s="3091">
        <f t="shared" si="18"/>
        <v>0</v>
      </c>
      <c r="H146" s="3092">
        <f t="shared" ca="1" si="20"/>
        <v>0</v>
      </c>
      <c r="I146" s="3094" t="s">
        <v>6803</v>
      </c>
      <c r="J146" s="3073"/>
      <c r="K146" s="3091">
        <f t="shared" si="19"/>
        <v>0</v>
      </c>
      <c r="L146" s="3072" t="s">
        <v>6799</v>
      </c>
      <c r="M146" s="3094" t="s">
        <v>6803</v>
      </c>
      <c r="N146" s="3073"/>
      <c r="O146" s="3100"/>
      <c r="P146" s="3101"/>
      <c r="Q146" s="3101"/>
      <c r="R146" s="3101"/>
      <c r="S146" s="3102" t="s">
        <v>295</v>
      </c>
      <c r="T146" s="3102" t="s">
        <v>213</v>
      </c>
      <c r="U146" s="3103"/>
      <c r="V146" s="3103" t="s">
        <v>295</v>
      </c>
      <c r="W146" s="3103" t="s">
        <v>145</v>
      </c>
      <c r="X146" s="3103" t="s">
        <v>6800</v>
      </c>
      <c r="Y146" s="3104" t="s">
        <v>119</v>
      </c>
    </row>
    <row r="147" spans="1:25" ht="39" hidden="1">
      <c r="A147" s="1304"/>
      <c r="B147" s="643">
        <v>1531</v>
      </c>
      <c r="C147" s="643" t="s">
        <v>946</v>
      </c>
      <c r="D147" s="3088">
        <v>2</v>
      </c>
      <c r="E147" s="3089" t="str">
        <f t="shared" si="17"/>
        <v>长期应收款</v>
      </c>
      <c r="F147" s="3090" t="s">
        <v>6443</v>
      </c>
      <c r="G147" s="3091">
        <f t="shared" si="18"/>
        <v>0</v>
      </c>
      <c r="H147" s="3092">
        <f t="shared" ca="1" si="20"/>
        <v>0</v>
      </c>
      <c r="I147" s="3094" t="s">
        <v>6803</v>
      </c>
      <c r="J147" s="3073"/>
      <c r="K147" s="3091">
        <f t="shared" si="19"/>
        <v>0</v>
      </c>
      <c r="L147" s="3072">
        <f ca="1">INDIRECT("Notes!CheckB"&amp;$C147)</f>
        <v>0</v>
      </c>
      <c r="M147" s="3094" t="s">
        <v>6803</v>
      </c>
      <c r="N147" s="3073"/>
      <c r="O147" s="3100"/>
      <c r="P147" s="3101"/>
      <c r="Q147" s="3101"/>
      <c r="R147" s="3101"/>
      <c r="S147" s="3102" t="s">
        <v>295</v>
      </c>
      <c r="T147" s="3102" t="s">
        <v>213</v>
      </c>
      <c r="U147" s="3103"/>
      <c r="V147" s="3103" t="s">
        <v>295</v>
      </c>
      <c r="W147" s="3103" t="s">
        <v>145</v>
      </c>
      <c r="X147" s="3103" t="s">
        <v>6800</v>
      </c>
      <c r="Y147" s="3104" t="s">
        <v>119</v>
      </c>
    </row>
    <row r="148" spans="1:25" ht="52" hidden="1">
      <c r="A148" s="1304"/>
      <c r="B148" s="643">
        <v>1531</v>
      </c>
      <c r="C148" s="643" t="s">
        <v>949</v>
      </c>
      <c r="D148" s="3088">
        <v>2</v>
      </c>
      <c r="E148" s="3089" t="str">
        <f t="shared" si="17"/>
        <v>长期应收款</v>
      </c>
      <c r="F148" s="3090" t="s">
        <v>5957</v>
      </c>
      <c r="G148" s="3091">
        <f t="shared" si="18"/>
        <v>0</v>
      </c>
      <c r="H148" s="3092" t="s">
        <v>6799</v>
      </c>
      <c r="I148" s="3094" t="s">
        <v>6803</v>
      </c>
      <c r="J148" s="3073"/>
      <c r="K148" s="3091">
        <f t="shared" si="19"/>
        <v>0</v>
      </c>
      <c r="L148" s="3072">
        <f ca="1">INDIRECT("Notes!CheckB"&amp;$C148)</f>
        <v>0</v>
      </c>
      <c r="M148" s="3094" t="s">
        <v>6803</v>
      </c>
      <c r="N148" s="3073"/>
      <c r="O148" s="3100"/>
      <c r="P148" s="3101"/>
      <c r="Q148" s="3101"/>
      <c r="R148" s="3101"/>
      <c r="S148" s="3102" t="s">
        <v>295</v>
      </c>
      <c r="T148" s="3102" t="s">
        <v>213</v>
      </c>
      <c r="U148" s="3103"/>
      <c r="V148" s="3103" t="s">
        <v>295</v>
      </c>
      <c r="W148" s="3103" t="s">
        <v>145</v>
      </c>
      <c r="X148" s="3103" t="s">
        <v>6800</v>
      </c>
      <c r="Y148" s="3104" t="s">
        <v>119</v>
      </c>
    </row>
    <row r="149" spans="1:25" ht="39" hidden="1">
      <c r="A149" s="1304"/>
      <c r="B149" s="643">
        <v>1531</v>
      </c>
      <c r="C149" s="643" t="s">
        <v>939</v>
      </c>
      <c r="D149" s="3088">
        <v>2</v>
      </c>
      <c r="E149" s="3089" t="str">
        <f t="shared" si="17"/>
        <v>长期应收款</v>
      </c>
      <c r="F149" s="3090" t="s">
        <v>5958</v>
      </c>
      <c r="G149" s="3091">
        <f t="shared" si="18"/>
        <v>0</v>
      </c>
      <c r="H149" s="3092">
        <f t="shared" ref="H149:H165" ca="1" si="21">INDIRECT("Notes!CheckA"&amp;$C149)</f>
        <v>0</v>
      </c>
      <c r="I149" s="3094" t="s">
        <v>6803</v>
      </c>
      <c r="J149" s="3073"/>
      <c r="K149" s="3091">
        <f t="shared" si="19"/>
        <v>0</v>
      </c>
      <c r="L149" s="3072" t="s">
        <v>6799</v>
      </c>
      <c r="M149" s="3094" t="s">
        <v>6803</v>
      </c>
      <c r="N149" s="3073"/>
      <c r="O149" s="3100"/>
      <c r="P149" s="3101"/>
      <c r="Q149" s="3101"/>
      <c r="R149" s="3101"/>
      <c r="S149" s="3102" t="s">
        <v>295</v>
      </c>
      <c r="T149" s="3102" t="s">
        <v>213</v>
      </c>
      <c r="U149" s="3103"/>
      <c r="V149" s="3103" t="s">
        <v>295</v>
      </c>
      <c r="W149" s="3103" t="s">
        <v>145</v>
      </c>
      <c r="X149" s="3103" t="s">
        <v>213</v>
      </c>
      <c r="Y149" s="3104" t="s">
        <v>119</v>
      </c>
    </row>
    <row r="150" spans="1:25" ht="26" hidden="1">
      <c r="A150" s="1304"/>
      <c r="B150" s="643">
        <v>1531</v>
      </c>
      <c r="C150" s="643" t="s">
        <v>954</v>
      </c>
      <c r="D150" s="3088">
        <v>2</v>
      </c>
      <c r="E150" s="3089" t="str">
        <f t="shared" si="17"/>
        <v>长期应收款</v>
      </c>
      <c r="F150" s="3090" t="s">
        <v>5959</v>
      </c>
      <c r="G150" s="3091">
        <f t="shared" si="18"/>
        <v>0</v>
      </c>
      <c r="H150" s="3092">
        <f t="shared" ca="1" si="21"/>
        <v>0</v>
      </c>
      <c r="I150" s="3094" t="s">
        <v>6803</v>
      </c>
      <c r="J150" s="3073"/>
      <c r="K150" s="3091">
        <f t="shared" si="19"/>
        <v>0</v>
      </c>
      <c r="L150" s="3072">
        <f ca="1">INDIRECT("Notes!CheckB"&amp;$C150)</f>
        <v>0</v>
      </c>
      <c r="M150" s="3094" t="s">
        <v>6803</v>
      </c>
      <c r="N150" s="3073"/>
      <c r="O150" s="3100"/>
      <c r="P150" s="3101"/>
      <c r="Q150" s="3101"/>
      <c r="R150" s="3101"/>
      <c r="S150" s="3102" t="s">
        <v>295</v>
      </c>
      <c r="T150" s="3102" t="s">
        <v>213</v>
      </c>
      <c r="U150" s="3103"/>
      <c r="V150" s="3103" t="s">
        <v>295</v>
      </c>
      <c r="W150" s="3103" t="s">
        <v>145</v>
      </c>
      <c r="X150" s="3103" t="s">
        <v>6800</v>
      </c>
      <c r="Y150" s="3104" t="s">
        <v>119</v>
      </c>
    </row>
    <row r="151" spans="1:25" ht="26" hidden="1">
      <c r="A151" s="1304"/>
      <c r="B151" s="643">
        <v>1531</v>
      </c>
      <c r="C151" s="643" t="s">
        <v>951</v>
      </c>
      <c r="D151" s="3088">
        <v>2</v>
      </c>
      <c r="E151" s="3089" t="str">
        <f t="shared" si="17"/>
        <v>长期应收款</v>
      </c>
      <c r="F151" s="3090" t="s">
        <v>5960</v>
      </c>
      <c r="G151" s="3091">
        <f t="shared" si="18"/>
        <v>0</v>
      </c>
      <c r="H151" s="3092">
        <f t="shared" ca="1" si="21"/>
        <v>0</v>
      </c>
      <c r="I151" s="3094" t="s">
        <v>6803</v>
      </c>
      <c r="J151" s="3073"/>
      <c r="K151" s="3091">
        <f t="shared" si="19"/>
        <v>0</v>
      </c>
      <c r="L151" s="3072" t="s">
        <v>6799</v>
      </c>
      <c r="M151" s="3094" t="s">
        <v>6803</v>
      </c>
      <c r="N151" s="3073"/>
      <c r="O151" s="3100"/>
      <c r="P151" s="3101"/>
      <c r="Q151" s="3101"/>
      <c r="R151" s="3101"/>
      <c r="S151" s="3102" t="s">
        <v>295</v>
      </c>
      <c r="T151" s="3102" t="s">
        <v>213</v>
      </c>
      <c r="U151" s="3103"/>
      <c r="V151" s="3103" t="s">
        <v>295</v>
      </c>
      <c r="W151" s="3103" t="s">
        <v>145</v>
      </c>
      <c r="X151" s="3103" t="s">
        <v>6800</v>
      </c>
      <c r="Y151" s="3104" t="s">
        <v>119</v>
      </c>
    </row>
    <row r="152" spans="1:25" ht="26" hidden="1">
      <c r="A152" s="1304"/>
      <c r="B152" s="643">
        <v>1531</v>
      </c>
      <c r="C152" s="643" t="s">
        <v>973</v>
      </c>
      <c r="D152" s="3088">
        <v>2</v>
      </c>
      <c r="E152" s="3089" t="str">
        <f t="shared" si="17"/>
        <v>长期应收款</v>
      </c>
      <c r="F152" s="3090" t="s">
        <v>956</v>
      </c>
      <c r="G152" s="3091">
        <f t="shared" si="18"/>
        <v>0</v>
      </c>
      <c r="H152" s="3092">
        <f t="shared" ca="1" si="21"/>
        <v>0</v>
      </c>
      <c r="I152" s="3094" t="s">
        <v>6803</v>
      </c>
      <c r="J152" s="3073"/>
      <c r="K152" s="3091">
        <f t="shared" si="19"/>
        <v>0</v>
      </c>
      <c r="L152" s="3072" t="s">
        <v>6799</v>
      </c>
      <c r="M152" s="3094" t="s">
        <v>6803</v>
      </c>
      <c r="N152" s="3073"/>
      <c r="O152" s="3100"/>
      <c r="P152" s="3101"/>
      <c r="Q152" s="3101"/>
      <c r="R152" s="3101"/>
      <c r="S152" s="3102" t="s">
        <v>295</v>
      </c>
      <c r="T152" s="3102" t="s">
        <v>213</v>
      </c>
      <c r="U152" s="3103"/>
      <c r="V152" s="3103" t="s">
        <v>295</v>
      </c>
      <c r="W152" s="3103" t="s">
        <v>6797</v>
      </c>
      <c r="X152" s="3103" t="s">
        <v>6798</v>
      </c>
      <c r="Y152" s="3104" t="s">
        <v>164</v>
      </c>
    </row>
    <row r="153" spans="1:25" ht="39" hidden="1">
      <c r="A153" s="1304"/>
      <c r="B153" s="643">
        <v>1531</v>
      </c>
      <c r="C153" s="643" t="s">
        <v>959</v>
      </c>
      <c r="D153" s="3088">
        <v>2</v>
      </c>
      <c r="E153" s="3089" t="str">
        <f t="shared" si="17"/>
        <v>长期应收款</v>
      </c>
      <c r="F153" s="3090" t="s">
        <v>960</v>
      </c>
      <c r="G153" s="3091">
        <f t="shared" si="18"/>
        <v>0</v>
      </c>
      <c r="H153" s="3092">
        <f t="shared" ca="1" si="21"/>
        <v>0</v>
      </c>
      <c r="I153" s="3094" t="s">
        <v>6803</v>
      </c>
      <c r="J153" s="3073"/>
      <c r="K153" s="3091">
        <f t="shared" si="19"/>
        <v>0</v>
      </c>
      <c r="L153" s="3072" t="s">
        <v>6799</v>
      </c>
      <c r="M153" s="3094" t="s">
        <v>6803</v>
      </c>
      <c r="N153" s="3073"/>
      <c r="O153" s="3100"/>
      <c r="P153" s="3101"/>
      <c r="Q153" s="3101"/>
      <c r="R153" s="3101"/>
      <c r="S153" s="3102" t="s">
        <v>295</v>
      </c>
      <c r="T153" s="3102" t="s">
        <v>213</v>
      </c>
      <c r="U153" s="3103"/>
      <c r="V153" s="3103" t="s">
        <v>295</v>
      </c>
      <c r="W153" s="3103" t="s">
        <v>6797</v>
      </c>
      <c r="X153" s="3103" t="s">
        <v>6798</v>
      </c>
      <c r="Y153" s="3104" t="s">
        <v>164</v>
      </c>
    </row>
    <row r="154" spans="1:25" ht="26" hidden="1">
      <c r="A154" s="1304"/>
      <c r="B154" s="643">
        <v>1531</v>
      </c>
      <c r="C154" s="643" t="s">
        <v>969</v>
      </c>
      <c r="D154" s="3088">
        <v>2</v>
      </c>
      <c r="E154" s="3089" t="str">
        <f t="shared" si="17"/>
        <v>长期应收款</v>
      </c>
      <c r="F154" s="3090" t="s">
        <v>6445</v>
      </c>
      <c r="G154" s="3091">
        <f t="shared" si="18"/>
        <v>0</v>
      </c>
      <c r="H154" s="3092">
        <f t="shared" ca="1" si="21"/>
        <v>0</v>
      </c>
      <c r="I154" s="3094" t="s">
        <v>6803</v>
      </c>
      <c r="J154" s="3073"/>
      <c r="K154" s="3091">
        <f t="shared" si="19"/>
        <v>0</v>
      </c>
      <c r="L154" s="3072">
        <f ca="1">INDIRECT("Notes!CheckB"&amp;$C154)</f>
        <v>0</v>
      </c>
      <c r="M154" s="3094" t="s">
        <v>6803</v>
      </c>
      <c r="N154" s="3073"/>
      <c r="O154" s="3100"/>
      <c r="P154" s="3101"/>
      <c r="Q154" s="3101"/>
      <c r="R154" s="3101"/>
      <c r="S154" s="3102" t="s">
        <v>295</v>
      </c>
      <c r="T154" s="3102" t="s">
        <v>213</v>
      </c>
      <c r="U154" s="3103"/>
      <c r="V154" s="3103" t="s">
        <v>295</v>
      </c>
      <c r="W154" s="3103" t="s">
        <v>6797</v>
      </c>
      <c r="X154" s="3103" t="s">
        <v>213</v>
      </c>
      <c r="Y154" s="3104" t="s">
        <v>164</v>
      </c>
    </row>
    <row r="155" spans="1:25" ht="17" hidden="1">
      <c r="A155" s="1304"/>
      <c r="B155" s="643">
        <v>1531</v>
      </c>
      <c r="C155" s="643" t="s">
        <v>977</v>
      </c>
      <c r="D155" s="3088">
        <v>2</v>
      </c>
      <c r="E155" s="3089" t="str">
        <f t="shared" si="17"/>
        <v>长期应收款</v>
      </c>
      <c r="F155" s="3090" t="s">
        <v>978</v>
      </c>
      <c r="G155" s="3091">
        <f t="shared" si="18"/>
        <v>0</v>
      </c>
      <c r="H155" s="3092">
        <f t="shared" ca="1" si="21"/>
        <v>0</v>
      </c>
      <c r="I155" s="3094" t="s">
        <v>6803</v>
      </c>
      <c r="J155" s="3073"/>
      <c r="K155" s="3091">
        <f t="shared" si="19"/>
        <v>0</v>
      </c>
      <c r="L155" s="3072" t="s">
        <v>6799</v>
      </c>
      <c r="M155" s="3094" t="s">
        <v>6803</v>
      </c>
      <c r="N155" s="3073"/>
      <c r="O155" s="3100"/>
      <c r="P155" s="3101"/>
      <c r="Q155" s="3101"/>
      <c r="R155" s="3101"/>
      <c r="S155" s="3102" t="s">
        <v>295</v>
      </c>
      <c r="T155" s="3102" t="s">
        <v>213</v>
      </c>
      <c r="U155" s="3103"/>
      <c r="V155" s="3103" t="s">
        <v>295</v>
      </c>
      <c r="W155" s="3103" t="s">
        <v>6797</v>
      </c>
      <c r="X155" s="3103" t="s">
        <v>213</v>
      </c>
      <c r="Y155" s="3104" t="s">
        <v>164</v>
      </c>
    </row>
    <row r="156" spans="1:25" ht="17">
      <c r="A156" s="1304"/>
      <c r="B156" s="643">
        <v>1511</v>
      </c>
      <c r="C156" s="643" t="s">
        <v>5622</v>
      </c>
      <c r="D156" s="3088">
        <v>1</v>
      </c>
      <c r="E156" s="3089" t="str">
        <f t="shared" si="17"/>
        <v>长期股权投资</v>
      </c>
      <c r="F156" s="3090" t="s">
        <v>5624</v>
      </c>
      <c r="G156" s="3091">
        <f t="shared" si="18"/>
        <v>0</v>
      </c>
      <c r="H156" s="3092">
        <f t="shared" ca="1" si="21"/>
        <v>0</v>
      </c>
      <c r="I156" s="3094">
        <f ca="1">IF(AND(LEN(G156)&gt;0,LEN(H156)&gt;0),ROUND(SUM(G156)-SUM(H156),2),"")</f>
        <v>0</v>
      </c>
      <c r="J156" s="3073" t="str">
        <f ca="1">IF(ISNA(I156),"N/A",IF(I156=0,"√","？"))</f>
        <v>√</v>
      </c>
      <c r="K156" s="3091">
        <f t="shared" si="19"/>
        <v>0</v>
      </c>
      <c r="L156" s="3072">
        <f ca="1">INDIRECT("Notes!CheckB"&amp;$C156)</f>
        <v>0</v>
      </c>
      <c r="M156" s="3094">
        <f ca="1">IF(AND(LEN(K156)&gt;0,LEN(L156)&gt;0),ROUND(SUM(K156)-SUM(L156),2),"")</f>
        <v>0</v>
      </c>
      <c r="N156" s="3073" t="str">
        <f ca="1">IF(ISNA(M156),"N/A",IF(M156=0,"√","？"))</f>
        <v>√</v>
      </c>
      <c r="O156" s="3100"/>
      <c r="P156" s="3101"/>
      <c r="Q156" s="3101"/>
      <c r="R156" s="3101"/>
      <c r="S156" s="3102" t="s">
        <v>295</v>
      </c>
      <c r="T156" s="3102" t="s">
        <v>213</v>
      </c>
      <c r="U156" s="3103"/>
      <c r="V156" s="3103" t="s">
        <v>295</v>
      </c>
      <c r="W156" s="3103" t="s">
        <v>6797</v>
      </c>
      <c r="X156" s="3103" t="s">
        <v>213</v>
      </c>
      <c r="Y156" s="3104" t="s">
        <v>164</v>
      </c>
    </row>
    <row r="157" spans="1:25" ht="26" hidden="1">
      <c r="A157" s="1304"/>
      <c r="B157" s="643">
        <v>1511</v>
      </c>
      <c r="C157" s="643" t="s">
        <v>5623</v>
      </c>
      <c r="D157" s="3088">
        <v>2</v>
      </c>
      <c r="E157" s="3089" t="str">
        <f t="shared" si="17"/>
        <v>长期股权投资</v>
      </c>
      <c r="F157" s="3090" t="s">
        <v>5625</v>
      </c>
      <c r="G157" s="3091">
        <f t="shared" si="18"/>
        <v>0</v>
      </c>
      <c r="H157" s="3092">
        <f t="shared" ca="1" si="21"/>
        <v>0</v>
      </c>
      <c r="I157" s="3094" t="s">
        <v>6803</v>
      </c>
      <c r="J157" s="3073"/>
      <c r="K157" s="3091">
        <f t="shared" si="19"/>
        <v>0</v>
      </c>
      <c r="L157" s="3072">
        <f ca="1">INDIRECT("Notes!CheckB"&amp;$C157)</f>
        <v>0</v>
      </c>
      <c r="M157" s="3094" t="s">
        <v>6803</v>
      </c>
      <c r="N157" s="3073"/>
      <c r="O157" s="3100"/>
      <c r="P157" s="3101"/>
      <c r="Q157" s="3101"/>
      <c r="R157" s="3101"/>
      <c r="S157" s="3102" t="s">
        <v>295</v>
      </c>
      <c r="T157" s="3102" t="s">
        <v>213</v>
      </c>
      <c r="U157" s="3103"/>
      <c r="V157" s="3103" t="s">
        <v>295</v>
      </c>
      <c r="W157" s="3103" t="s">
        <v>6797</v>
      </c>
      <c r="X157" s="3103" t="s">
        <v>213</v>
      </c>
      <c r="Y157" s="3104" t="s">
        <v>164</v>
      </c>
    </row>
    <row r="158" spans="1:25" ht="26" hidden="1">
      <c r="A158" s="1304"/>
      <c r="B158" s="643">
        <v>1511</v>
      </c>
      <c r="C158" s="643" t="s">
        <v>982</v>
      </c>
      <c r="D158" s="3088">
        <v>2</v>
      </c>
      <c r="E158" s="3089" t="str">
        <f t="shared" si="17"/>
        <v>长期股权投资</v>
      </c>
      <c r="F158" s="3090" t="s">
        <v>6446</v>
      </c>
      <c r="G158" s="3091">
        <f t="shared" si="18"/>
        <v>0</v>
      </c>
      <c r="H158" s="3092">
        <f t="shared" ca="1" si="21"/>
        <v>0</v>
      </c>
      <c r="I158" s="3094" t="s">
        <v>6803</v>
      </c>
      <c r="J158" s="3073"/>
      <c r="K158" s="3091"/>
      <c r="L158" s="3072"/>
      <c r="M158" s="3094" t="s">
        <v>6803</v>
      </c>
      <c r="N158" s="3073"/>
      <c r="O158" s="3100"/>
      <c r="P158" s="3101"/>
      <c r="Q158" s="3101"/>
      <c r="R158" s="3101"/>
      <c r="S158" s="3102" t="s">
        <v>295</v>
      </c>
      <c r="T158" s="3102" t="s">
        <v>213</v>
      </c>
      <c r="U158" s="3103"/>
      <c r="V158" s="3103" t="s">
        <v>295</v>
      </c>
      <c r="W158" s="3103" t="s">
        <v>6797</v>
      </c>
      <c r="X158" s="3103" t="s">
        <v>6798</v>
      </c>
      <c r="Y158" s="3104" t="s">
        <v>164</v>
      </c>
    </row>
    <row r="159" spans="1:25" ht="17">
      <c r="A159" s="1304"/>
      <c r="B159" s="643">
        <v>1538</v>
      </c>
      <c r="C159" s="643" t="s">
        <v>993</v>
      </c>
      <c r="D159" s="3088">
        <v>1</v>
      </c>
      <c r="E159" s="3089" t="str">
        <f t="shared" si="17"/>
        <v>其他权益工具投资</v>
      </c>
      <c r="F159" s="3090" t="s">
        <v>994</v>
      </c>
      <c r="G159" s="3091">
        <f t="shared" si="18"/>
        <v>0</v>
      </c>
      <c r="H159" s="3092">
        <f t="shared" ca="1" si="21"/>
        <v>0</v>
      </c>
      <c r="I159" s="3094">
        <f ca="1">IF(AND(LEN(G159)&gt;0,LEN(H159)&gt;0),ROUND(SUM(G159)-SUM(H159),2),"")</f>
        <v>0</v>
      </c>
      <c r="J159" s="3073" t="str">
        <f ca="1">IF(ISNA(I159),"N/A",IF(I159=0,"√","？"))</f>
        <v>√</v>
      </c>
      <c r="K159" s="3091">
        <f t="shared" ref="K159:K222" si="22">IF(ISERROR(VLOOKUP($B159,Sheet_Trialbal,10,0)),"        ----",VLOOKUP($B159,Sheet_Trialbal,10,0))</f>
        <v>0</v>
      </c>
      <c r="L159" s="3072">
        <f ca="1">INDIRECT("Notes!CheckB"&amp;$C159)</f>
        <v>0</v>
      </c>
      <c r="M159" s="3094">
        <f ca="1">IF(AND(LEN(K159)&gt;0,LEN(L159)&gt;0),ROUND(SUM(K159)-SUM(L159),2),"")</f>
        <v>0</v>
      </c>
      <c r="N159" s="3073" t="str">
        <f ca="1">IF(ISNA(M159),"N/A",IF(M159=0,"√","？"))</f>
        <v>√</v>
      </c>
      <c r="O159" s="3100"/>
      <c r="P159" s="3101"/>
      <c r="Q159" s="3101"/>
      <c r="R159" s="3101"/>
      <c r="S159" s="3102" t="s">
        <v>295</v>
      </c>
      <c r="T159" s="3102" t="s">
        <v>213</v>
      </c>
      <c r="U159" s="3103"/>
      <c r="V159" s="3103" t="s">
        <v>295</v>
      </c>
      <c r="W159" s="3103" t="s">
        <v>145</v>
      </c>
      <c r="X159" s="3103" t="s">
        <v>6800</v>
      </c>
      <c r="Y159" s="3104" t="s">
        <v>119</v>
      </c>
    </row>
    <row r="160" spans="1:25" ht="26" hidden="1">
      <c r="A160" s="1304"/>
      <c r="B160" s="643">
        <v>1538</v>
      </c>
      <c r="C160" s="643" t="s">
        <v>1000</v>
      </c>
      <c r="D160" s="3088">
        <v>2</v>
      </c>
      <c r="E160" s="3089" t="str">
        <f t="shared" si="17"/>
        <v>其他权益工具投资</v>
      </c>
      <c r="F160" s="3090" t="s">
        <v>1001</v>
      </c>
      <c r="G160" s="3091">
        <f t="shared" si="18"/>
        <v>0</v>
      </c>
      <c r="H160" s="3092">
        <f t="shared" ca="1" si="21"/>
        <v>0</v>
      </c>
      <c r="I160" s="3094" t="s">
        <v>6803</v>
      </c>
      <c r="J160" s="3073"/>
      <c r="K160" s="3091">
        <f t="shared" si="22"/>
        <v>0</v>
      </c>
      <c r="L160" s="3072" t="s">
        <v>6799</v>
      </c>
      <c r="M160" s="3094" t="s">
        <v>6803</v>
      </c>
      <c r="N160" s="3073"/>
      <c r="O160" s="3100"/>
      <c r="P160" s="3101"/>
      <c r="Q160" s="3101"/>
      <c r="R160" s="3101"/>
      <c r="S160" s="3102" t="s">
        <v>295</v>
      </c>
      <c r="T160" s="3102" t="s">
        <v>213</v>
      </c>
      <c r="U160" s="3103"/>
      <c r="V160" s="3103" t="s">
        <v>295</v>
      </c>
      <c r="W160" s="3103" t="s">
        <v>145</v>
      </c>
      <c r="X160" s="3103" t="s">
        <v>6800</v>
      </c>
      <c r="Y160" s="3104" t="s">
        <v>119</v>
      </c>
    </row>
    <row r="161" spans="1:25" ht="26">
      <c r="A161" s="1304"/>
      <c r="B161" s="643">
        <v>1539</v>
      </c>
      <c r="C161" s="643" t="s">
        <v>1006</v>
      </c>
      <c r="D161" s="3088">
        <v>1</v>
      </c>
      <c r="E161" s="3089" t="str">
        <f t="shared" si="17"/>
        <v>其他非流动金融资产</v>
      </c>
      <c r="F161" s="3090" t="s">
        <v>1007</v>
      </c>
      <c r="G161" s="3091">
        <f t="shared" si="18"/>
        <v>0</v>
      </c>
      <c r="H161" s="3092">
        <f t="shared" ca="1" si="21"/>
        <v>0</v>
      </c>
      <c r="I161" s="3094">
        <f ca="1">IF(AND(LEN(G161)&gt;0,LEN(H161)&gt;0),ROUND(SUM(G161)-SUM(H161),2),"")</f>
        <v>0</v>
      </c>
      <c r="J161" s="3073" t="str">
        <f ca="1">IF(ISNA(I161),"N/A",IF(I161=0,"√","？"))</f>
        <v>√</v>
      </c>
      <c r="K161" s="3091">
        <f t="shared" si="22"/>
        <v>0</v>
      </c>
      <c r="L161" s="3072">
        <f ca="1">INDIRECT("Notes!CheckB"&amp;$C161)</f>
        <v>0</v>
      </c>
      <c r="M161" s="3094">
        <f ca="1">IF(AND(LEN(K161)&gt;0,LEN(L161)&gt;0),ROUND(SUM(K161)-SUM(L161),2),"")</f>
        <v>0</v>
      </c>
      <c r="N161" s="3073" t="str">
        <f ca="1">IF(ISNA(M161),"N/A",IF(M161=0,"√","？"))</f>
        <v>√</v>
      </c>
      <c r="O161" s="3100"/>
      <c r="P161" s="3101"/>
      <c r="Q161" s="3101"/>
      <c r="R161" s="3101"/>
      <c r="S161" s="3102" t="s">
        <v>295</v>
      </c>
      <c r="T161" s="3102" t="s">
        <v>213</v>
      </c>
      <c r="U161" s="3103"/>
      <c r="V161" s="3103" t="s">
        <v>295</v>
      </c>
      <c r="W161" s="3103" t="s">
        <v>145</v>
      </c>
      <c r="X161" s="3103" t="s">
        <v>6800</v>
      </c>
      <c r="Y161" s="3104" t="s">
        <v>119</v>
      </c>
    </row>
    <row r="162" spans="1:25" ht="26" hidden="1">
      <c r="A162" s="1304"/>
      <c r="B162" s="643">
        <v>1539</v>
      </c>
      <c r="C162" s="643" t="s">
        <v>5618</v>
      </c>
      <c r="D162" s="3088">
        <v>2</v>
      </c>
      <c r="E162" s="3089" t="str">
        <f t="shared" si="17"/>
        <v>其他非流动金融资产</v>
      </c>
      <c r="F162" s="3090" t="s">
        <v>5620</v>
      </c>
      <c r="G162" s="3091">
        <f t="shared" si="18"/>
        <v>0</v>
      </c>
      <c r="H162" s="3092">
        <f t="shared" ca="1" si="21"/>
        <v>0</v>
      </c>
      <c r="I162" s="3094" t="s">
        <v>6803</v>
      </c>
      <c r="J162" s="3073"/>
      <c r="K162" s="3091">
        <f t="shared" si="22"/>
        <v>0</v>
      </c>
      <c r="L162" s="3072">
        <f ca="1">INDIRECT("Notes!CheckB"&amp;$C162)</f>
        <v>0</v>
      </c>
      <c r="M162" s="3094" t="s">
        <v>6803</v>
      </c>
      <c r="N162" s="3073"/>
      <c r="O162" s="3100"/>
      <c r="P162" s="3101"/>
      <c r="Q162" s="3101"/>
      <c r="R162" s="3101"/>
      <c r="S162" s="3102" t="s">
        <v>295</v>
      </c>
      <c r="T162" s="3102" t="s">
        <v>213</v>
      </c>
      <c r="U162" s="3103"/>
      <c r="V162" s="3103" t="s">
        <v>295</v>
      </c>
      <c r="W162" s="3103" t="s">
        <v>145</v>
      </c>
      <c r="X162" s="3103" t="s">
        <v>213</v>
      </c>
      <c r="Y162" s="3104" t="s">
        <v>119</v>
      </c>
    </row>
    <row r="163" spans="1:25" ht="26" hidden="1">
      <c r="A163" s="1304"/>
      <c r="B163" s="643">
        <v>1539</v>
      </c>
      <c r="C163" s="643" t="s">
        <v>5619</v>
      </c>
      <c r="D163" s="3088">
        <v>2</v>
      </c>
      <c r="E163" s="3089" t="str">
        <f t="shared" si="17"/>
        <v>其他非流动金融资产</v>
      </c>
      <c r="F163" s="3090" t="s">
        <v>5621</v>
      </c>
      <c r="G163" s="3091">
        <f t="shared" si="18"/>
        <v>0</v>
      </c>
      <c r="H163" s="3092">
        <f t="shared" ca="1" si="21"/>
        <v>0</v>
      </c>
      <c r="I163" s="3094" t="s">
        <v>6803</v>
      </c>
      <c r="J163" s="3073"/>
      <c r="K163" s="3091">
        <f t="shared" si="22"/>
        <v>0</v>
      </c>
      <c r="L163" s="3072">
        <f ca="1">INDIRECT("Notes!CheckB"&amp;$C163)</f>
        <v>0</v>
      </c>
      <c r="M163" s="3094" t="s">
        <v>6803</v>
      </c>
      <c r="N163" s="3073"/>
      <c r="O163" s="3100"/>
      <c r="P163" s="3101"/>
      <c r="Q163" s="3101"/>
      <c r="R163" s="3101"/>
      <c r="S163" s="3102" t="s">
        <v>295</v>
      </c>
      <c r="T163" s="3102" t="s">
        <v>213</v>
      </c>
      <c r="U163" s="3103"/>
      <c r="V163" s="3103" t="s">
        <v>295</v>
      </c>
      <c r="W163" s="3103" t="s">
        <v>145</v>
      </c>
      <c r="X163" s="3103" t="s">
        <v>213</v>
      </c>
      <c r="Y163" s="3104" t="s">
        <v>119</v>
      </c>
    </row>
    <row r="164" spans="1:25" ht="26" hidden="1">
      <c r="A164" s="1304"/>
      <c r="B164" s="643">
        <v>1521</v>
      </c>
      <c r="C164" s="643" t="s">
        <v>1051</v>
      </c>
      <c r="D164" s="3088">
        <v>2</v>
      </c>
      <c r="E164" s="3089" t="str">
        <f t="shared" si="17"/>
        <v>投资性房地产</v>
      </c>
      <c r="F164" s="3090" t="s">
        <v>1052</v>
      </c>
      <c r="G164" s="3091">
        <f t="shared" si="18"/>
        <v>0</v>
      </c>
      <c r="H164" s="3092">
        <f t="shared" ca="1" si="21"/>
        <v>0</v>
      </c>
      <c r="I164" s="3094" t="s">
        <v>6803</v>
      </c>
      <c r="J164" s="3073"/>
      <c r="K164" s="3091">
        <f t="shared" si="22"/>
        <v>0</v>
      </c>
      <c r="L164" s="3072">
        <f ca="1">INDIRECT("Notes!CheckB"&amp;$C164)</f>
        <v>0</v>
      </c>
      <c r="M164" s="3094" t="s">
        <v>6803</v>
      </c>
      <c r="N164" s="3073"/>
      <c r="O164" s="3100"/>
      <c r="P164" s="3101"/>
      <c r="Q164" s="3101"/>
      <c r="R164" s="3101"/>
      <c r="S164" s="3102" t="s">
        <v>295</v>
      </c>
      <c r="T164" s="3102" t="s">
        <v>213</v>
      </c>
      <c r="U164" s="3103">
        <v>1521</v>
      </c>
      <c r="V164" s="3103" t="s">
        <v>295</v>
      </c>
      <c r="W164" s="3103" t="s">
        <v>6797</v>
      </c>
      <c r="X164" s="3103" t="s">
        <v>6798</v>
      </c>
      <c r="Y164" s="3104" t="s">
        <v>164</v>
      </c>
    </row>
    <row r="165" spans="1:25" ht="26" hidden="1">
      <c r="A165" s="1304"/>
      <c r="B165" s="643">
        <v>1521</v>
      </c>
      <c r="C165" s="643" t="s">
        <v>1058</v>
      </c>
      <c r="D165" s="3088">
        <v>2</v>
      </c>
      <c r="E165" s="3089" t="str">
        <f t="shared" si="17"/>
        <v>投资性房地产</v>
      </c>
      <c r="F165" s="3090" t="s">
        <v>1059</v>
      </c>
      <c r="G165" s="3091">
        <f t="shared" si="18"/>
        <v>0</v>
      </c>
      <c r="H165" s="3092">
        <f t="shared" ca="1" si="21"/>
        <v>0</v>
      </c>
      <c r="I165" s="3094" t="s">
        <v>6803</v>
      </c>
      <c r="J165" s="3073"/>
      <c r="K165" s="3091">
        <f t="shared" si="22"/>
        <v>0</v>
      </c>
      <c r="L165" s="3072">
        <f ca="1">INDIRECT("Notes!CheckB"&amp;$C165)</f>
        <v>0</v>
      </c>
      <c r="M165" s="3094" t="s">
        <v>6803</v>
      </c>
      <c r="N165" s="3073"/>
      <c r="O165" s="3100"/>
      <c r="P165" s="3101"/>
      <c r="Q165" s="3101"/>
      <c r="R165" s="3101"/>
      <c r="S165" s="3102" t="s">
        <v>295</v>
      </c>
      <c r="T165" s="3102" t="s">
        <v>213</v>
      </c>
      <c r="U165" s="3103">
        <v>1521</v>
      </c>
      <c r="V165" s="3103" t="s">
        <v>295</v>
      </c>
      <c r="W165" s="3103" t="s">
        <v>6797</v>
      </c>
      <c r="X165" s="3103" t="s">
        <v>6798</v>
      </c>
      <c r="Y165" s="3104" t="s">
        <v>164</v>
      </c>
    </row>
    <row r="166" spans="1:25" ht="26" hidden="1">
      <c r="A166" s="1304"/>
      <c r="B166" s="643">
        <v>1521</v>
      </c>
      <c r="C166" s="643" t="s">
        <v>1062</v>
      </c>
      <c r="D166" s="3088">
        <v>2</v>
      </c>
      <c r="E166" s="3089" t="str">
        <f t="shared" si="17"/>
        <v>投资性房地产</v>
      </c>
      <c r="F166" s="3090" t="s">
        <v>1063</v>
      </c>
      <c r="G166" s="3091">
        <f t="shared" si="18"/>
        <v>0</v>
      </c>
      <c r="H166" s="3092" t="s">
        <v>6799</v>
      </c>
      <c r="I166" s="3094" t="s">
        <v>6803</v>
      </c>
      <c r="J166" s="3073"/>
      <c r="K166" s="3091">
        <f t="shared" si="22"/>
        <v>0</v>
      </c>
      <c r="L166" s="3072" t="s">
        <v>6799</v>
      </c>
      <c r="M166" s="3094" t="s">
        <v>6803</v>
      </c>
      <c r="N166" s="3073"/>
      <c r="O166" s="3100"/>
      <c r="P166" s="3101"/>
      <c r="Q166" s="3101"/>
      <c r="R166" s="3101"/>
      <c r="S166" s="3102" t="s">
        <v>295</v>
      </c>
      <c r="T166" s="3102" t="s">
        <v>213</v>
      </c>
      <c r="U166" s="3103">
        <v>1521</v>
      </c>
      <c r="V166" s="3103" t="s">
        <v>295</v>
      </c>
      <c r="W166" s="3103" t="s">
        <v>6797</v>
      </c>
      <c r="X166" s="3103" t="s">
        <v>6798</v>
      </c>
      <c r="Y166" s="3104" t="s">
        <v>164</v>
      </c>
    </row>
    <row r="167" spans="1:25" ht="17" hidden="1">
      <c r="A167" s="1304"/>
      <c r="B167" s="643">
        <v>1521</v>
      </c>
      <c r="C167" s="643" t="s">
        <v>1088</v>
      </c>
      <c r="D167" s="3088">
        <v>2</v>
      </c>
      <c r="E167" s="3089" t="str">
        <f t="shared" si="17"/>
        <v>投资性房地产</v>
      </c>
      <c r="F167" s="3090" t="s">
        <v>1089</v>
      </c>
      <c r="G167" s="3091">
        <f t="shared" si="18"/>
        <v>0</v>
      </c>
      <c r="H167" s="3092" t="s">
        <v>6799</v>
      </c>
      <c r="I167" s="3094" t="s">
        <v>6803</v>
      </c>
      <c r="J167" s="3073"/>
      <c r="K167" s="3091">
        <f t="shared" si="22"/>
        <v>0</v>
      </c>
      <c r="L167" s="3072" t="s">
        <v>6799</v>
      </c>
      <c r="M167" s="3094" t="s">
        <v>6803</v>
      </c>
      <c r="N167" s="3073"/>
      <c r="O167" s="3100"/>
      <c r="P167" s="3101"/>
      <c r="Q167" s="3101"/>
      <c r="R167" s="3101"/>
      <c r="S167" s="3102" t="s">
        <v>295</v>
      </c>
      <c r="T167" s="3102" t="s">
        <v>213</v>
      </c>
      <c r="U167" s="3103">
        <v>1521</v>
      </c>
      <c r="V167" s="3103" t="s">
        <v>295</v>
      </c>
      <c r="W167" s="3103" t="s">
        <v>6797</v>
      </c>
      <c r="X167" s="3103" t="s">
        <v>213</v>
      </c>
      <c r="Y167" s="3104" t="s">
        <v>164</v>
      </c>
    </row>
    <row r="168" spans="1:25" ht="17">
      <c r="A168" s="1304"/>
      <c r="B168" s="643">
        <v>1611</v>
      </c>
      <c r="C168" s="643" t="s">
        <v>1098</v>
      </c>
      <c r="D168" s="3088">
        <v>1</v>
      </c>
      <c r="E168" s="3089" t="str">
        <f t="shared" si="17"/>
        <v>固定资产（报表项目）</v>
      </c>
      <c r="F168" s="3090" t="s">
        <v>1099</v>
      </c>
      <c r="G168" s="3091">
        <f t="shared" si="18"/>
        <v>0</v>
      </c>
      <c r="H168" s="3092">
        <f t="shared" ref="H168:H173" ca="1" si="23">INDIRECT("Notes!CheckA"&amp;$C168)</f>
        <v>0</v>
      </c>
      <c r="I168" s="3094">
        <f ca="1">IF(AND(LEN(G168)&gt;0,LEN(H168)&gt;0),ROUND(SUM(G168)-SUM(H168),2),"")</f>
        <v>0</v>
      </c>
      <c r="J168" s="3073" t="str">
        <f ca="1">IF(ISNA(I168),"N/A",IF(I168=0,"√","？"))</f>
        <v>√</v>
      </c>
      <c r="K168" s="3091">
        <f t="shared" si="22"/>
        <v>0</v>
      </c>
      <c r="L168" s="3072">
        <f ca="1">INDIRECT("Notes!CheckB"&amp;$C168)</f>
        <v>0</v>
      </c>
      <c r="M168" s="3094">
        <f ca="1">IF(AND(LEN(K168)&gt;0,LEN(L168)&gt;0),ROUND(SUM(K168)-SUM(L168),2),"")</f>
        <v>0</v>
      </c>
      <c r="N168" s="3073" t="str">
        <f ca="1">IF(ISNA(M168),"N/A",IF(M168=0,"√","？"))</f>
        <v>√</v>
      </c>
      <c r="O168" s="3100"/>
      <c r="P168" s="3101"/>
      <c r="Q168" s="3101"/>
      <c r="R168" s="3101"/>
      <c r="S168" s="3102" t="s">
        <v>295</v>
      </c>
      <c r="T168" s="3102" t="s">
        <v>213</v>
      </c>
      <c r="U168" s="3103">
        <v>1611</v>
      </c>
      <c r="V168" s="3103" t="s">
        <v>295</v>
      </c>
      <c r="W168" s="3103" t="s">
        <v>6797</v>
      </c>
      <c r="X168" s="3103" t="s">
        <v>6798</v>
      </c>
      <c r="Y168" s="3104" t="s">
        <v>164</v>
      </c>
    </row>
    <row r="169" spans="1:25" ht="17">
      <c r="A169" s="1304"/>
      <c r="B169" s="643">
        <v>1601</v>
      </c>
      <c r="C169" s="643" t="s">
        <v>1105</v>
      </c>
      <c r="D169" s="3088">
        <v>1</v>
      </c>
      <c r="E169" s="3089" t="str">
        <f t="shared" si="17"/>
        <v>固定资产</v>
      </c>
      <c r="F169" s="3090" t="s">
        <v>1106</v>
      </c>
      <c r="G169" s="3091">
        <f t="shared" si="18"/>
        <v>0</v>
      </c>
      <c r="H169" s="3092">
        <f t="shared" ca="1" si="23"/>
        <v>0</v>
      </c>
      <c r="I169" s="3094">
        <f ca="1">IF(AND(LEN(G169)&gt;0,LEN(H169)&gt;0),ROUND(SUM(G169)-SUM(H169),2),"")</f>
        <v>0</v>
      </c>
      <c r="J169" s="3073" t="str">
        <f ca="1">IF(ISNA(I169),"N/A",IF(I169=0,"√","？"))</f>
        <v>√</v>
      </c>
      <c r="K169" s="3091">
        <f t="shared" si="22"/>
        <v>0</v>
      </c>
      <c r="L169" s="3072">
        <f ca="1">INDIRECT("Notes!CheckB"&amp;$C169)</f>
        <v>0</v>
      </c>
      <c r="M169" s="3094">
        <f ca="1">IF(AND(LEN(K169)&gt;0,LEN(L169)&gt;0),ROUND(SUM(K169)-SUM(L169),2),"")</f>
        <v>0</v>
      </c>
      <c r="N169" s="3073" t="str">
        <f ca="1">IF(ISNA(M169),"N/A",IF(M169=0,"√","？"))</f>
        <v>√</v>
      </c>
      <c r="O169" s="3100"/>
      <c r="P169" s="3101"/>
      <c r="Q169" s="3101"/>
      <c r="R169" s="3101"/>
      <c r="S169" s="3102" t="s">
        <v>295</v>
      </c>
      <c r="T169" s="3102" t="s">
        <v>213</v>
      </c>
      <c r="U169" s="3103">
        <v>1601</v>
      </c>
      <c r="V169" s="3103" t="s">
        <v>295</v>
      </c>
      <c r="W169" s="3103" t="s">
        <v>6797</v>
      </c>
      <c r="X169" s="3103" t="s">
        <v>6798</v>
      </c>
      <c r="Y169" s="3104" t="s">
        <v>164</v>
      </c>
    </row>
    <row r="170" spans="1:25" ht="26" hidden="1">
      <c r="A170" s="1304"/>
      <c r="B170" s="643">
        <v>1601</v>
      </c>
      <c r="C170" s="643" t="s">
        <v>1116</v>
      </c>
      <c r="D170" s="3088">
        <v>2</v>
      </c>
      <c r="E170" s="3089" t="str">
        <f t="shared" si="17"/>
        <v>固定资产</v>
      </c>
      <c r="F170" s="3090" t="s">
        <v>1117</v>
      </c>
      <c r="G170" s="3091">
        <f t="shared" si="18"/>
        <v>0</v>
      </c>
      <c r="H170" s="3092">
        <f t="shared" ca="1" si="23"/>
        <v>0</v>
      </c>
      <c r="I170" s="3094" t="s">
        <v>6803</v>
      </c>
      <c r="J170" s="3073"/>
      <c r="K170" s="3091">
        <f t="shared" si="22"/>
        <v>0</v>
      </c>
      <c r="L170" s="3072" t="s">
        <v>6799</v>
      </c>
      <c r="M170" s="3094" t="s">
        <v>6803</v>
      </c>
      <c r="N170" s="3073"/>
      <c r="O170" s="3100"/>
      <c r="P170" s="3101"/>
      <c r="Q170" s="3101"/>
      <c r="R170" s="3101"/>
      <c r="S170" s="3102" t="s">
        <v>295</v>
      </c>
      <c r="T170" s="3102" t="s">
        <v>213</v>
      </c>
      <c r="U170" s="3103">
        <v>1601</v>
      </c>
      <c r="V170" s="3103" t="s">
        <v>295</v>
      </c>
      <c r="W170" s="3103" t="s">
        <v>6797</v>
      </c>
      <c r="X170" s="3103" t="s">
        <v>6800</v>
      </c>
      <c r="Y170" s="3104" t="s">
        <v>164</v>
      </c>
    </row>
    <row r="171" spans="1:25" ht="26" hidden="1">
      <c r="A171" s="1304"/>
      <c r="B171" s="643">
        <v>1601</v>
      </c>
      <c r="C171" s="643" t="s">
        <v>1120</v>
      </c>
      <c r="D171" s="3088">
        <v>2</v>
      </c>
      <c r="E171" s="3089" t="str">
        <f t="shared" si="17"/>
        <v>固定资产</v>
      </c>
      <c r="F171" s="3090" t="s">
        <v>1121</v>
      </c>
      <c r="G171" s="3091">
        <f t="shared" si="18"/>
        <v>0</v>
      </c>
      <c r="H171" s="3092">
        <f t="shared" ca="1" si="23"/>
        <v>0</v>
      </c>
      <c r="I171" s="3094" t="s">
        <v>6803</v>
      </c>
      <c r="J171" s="3073"/>
      <c r="K171" s="3091">
        <f t="shared" si="22"/>
        <v>0</v>
      </c>
      <c r="L171" s="3072" t="s">
        <v>6799</v>
      </c>
      <c r="M171" s="3094" t="s">
        <v>6803</v>
      </c>
      <c r="N171" s="3073"/>
      <c r="O171" s="3100"/>
      <c r="P171" s="3101"/>
      <c r="Q171" s="3101"/>
      <c r="R171" s="3101"/>
      <c r="S171" s="3102" t="s">
        <v>295</v>
      </c>
      <c r="T171" s="3102" t="s">
        <v>213</v>
      </c>
      <c r="U171" s="3103">
        <v>1601</v>
      </c>
      <c r="V171" s="3103" t="s">
        <v>295</v>
      </c>
      <c r="W171" s="3103" t="s">
        <v>6797</v>
      </c>
      <c r="X171" s="3103" t="s">
        <v>6798</v>
      </c>
      <c r="Y171" s="3104" t="s">
        <v>164</v>
      </c>
    </row>
    <row r="172" spans="1:25" ht="26" hidden="1">
      <c r="A172" s="1304"/>
      <c r="B172" s="643">
        <v>1601</v>
      </c>
      <c r="C172" s="643" t="s">
        <v>1126</v>
      </c>
      <c r="D172" s="3088">
        <v>2</v>
      </c>
      <c r="E172" s="3089" t="str">
        <f t="shared" si="17"/>
        <v>固定资产</v>
      </c>
      <c r="F172" s="3090" t="s">
        <v>1127</v>
      </c>
      <c r="G172" s="3091">
        <f t="shared" si="18"/>
        <v>0</v>
      </c>
      <c r="H172" s="3092">
        <f t="shared" ca="1" si="23"/>
        <v>0</v>
      </c>
      <c r="I172" s="3094" t="s">
        <v>6803</v>
      </c>
      <c r="J172" s="3073"/>
      <c r="K172" s="3091">
        <f t="shared" si="22"/>
        <v>0</v>
      </c>
      <c r="L172" s="3072" t="s">
        <v>6799</v>
      </c>
      <c r="M172" s="3094" t="s">
        <v>6803</v>
      </c>
      <c r="N172" s="3073"/>
      <c r="O172" s="3100"/>
      <c r="P172" s="3101"/>
      <c r="Q172" s="3101"/>
      <c r="R172" s="3101"/>
      <c r="S172" s="3102" t="s">
        <v>295</v>
      </c>
      <c r="T172" s="3102" t="s">
        <v>213</v>
      </c>
      <c r="U172" s="3103">
        <v>1601</v>
      </c>
      <c r="V172" s="3103" t="s">
        <v>295</v>
      </c>
      <c r="W172" s="3103" t="s">
        <v>6797</v>
      </c>
      <c r="X172" s="3103" t="s">
        <v>6798</v>
      </c>
      <c r="Y172" s="3104" t="s">
        <v>164</v>
      </c>
    </row>
    <row r="173" spans="1:25" ht="26" hidden="1">
      <c r="A173" s="1304"/>
      <c r="B173" s="643">
        <v>1601</v>
      </c>
      <c r="C173" s="643" t="s">
        <v>1131</v>
      </c>
      <c r="D173" s="3088">
        <v>2</v>
      </c>
      <c r="E173" s="3089" t="str">
        <f t="shared" si="17"/>
        <v>固定资产</v>
      </c>
      <c r="F173" s="3090" t="s">
        <v>1132</v>
      </c>
      <c r="G173" s="3091">
        <f t="shared" si="18"/>
        <v>0</v>
      </c>
      <c r="H173" s="3092">
        <f t="shared" ca="1" si="23"/>
        <v>0</v>
      </c>
      <c r="I173" s="3094" t="s">
        <v>6803</v>
      </c>
      <c r="J173" s="3073"/>
      <c r="K173" s="3091">
        <f t="shared" si="22"/>
        <v>0</v>
      </c>
      <c r="L173" s="3072">
        <f ca="1">INDIRECT("Notes!CheckB"&amp;$C173)</f>
        <v>0</v>
      </c>
      <c r="M173" s="3094" t="s">
        <v>6803</v>
      </c>
      <c r="N173" s="3073"/>
      <c r="O173" s="3100"/>
      <c r="P173" s="3101"/>
      <c r="Q173" s="3101"/>
      <c r="R173" s="3101"/>
      <c r="S173" s="3102" t="s">
        <v>295</v>
      </c>
      <c r="T173" s="3102" t="s">
        <v>213</v>
      </c>
      <c r="U173" s="3103">
        <v>1601</v>
      </c>
      <c r="V173" s="3103" t="s">
        <v>295</v>
      </c>
      <c r="W173" s="3103" t="s">
        <v>6797</v>
      </c>
      <c r="X173" s="3103" t="s">
        <v>6800</v>
      </c>
      <c r="Y173" s="3104" t="s">
        <v>164</v>
      </c>
    </row>
    <row r="174" spans="1:25" ht="39" hidden="1">
      <c r="A174" s="1304"/>
      <c r="B174" s="643">
        <v>1601</v>
      </c>
      <c r="C174" s="643" t="s">
        <v>1136</v>
      </c>
      <c r="D174" s="3088">
        <v>2</v>
      </c>
      <c r="E174" s="3089" t="str">
        <f t="shared" si="17"/>
        <v>固定资产</v>
      </c>
      <c r="F174" s="3090" t="s">
        <v>1137</v>
      </c>
      <c r="G174" s="3091">
        <f t="shared" si="18"/>
        <v>0</v>
      </c>
      <c r="H174" s="3092" t="s">
        <v>6799</v>
      </c>
      <c r="I174" s="3094" t="s">
        <v>6803</v>
      </c>
      <c r="J174" s="3073"/>
      <c r="K174" s="3091">
        <f t="shared" si="22"/>
        <v>0</v>
      </c>
      <c r="L174" s="3072" t="s">
        <v>6799</v>
      </c>
      <c r="M174" s="3094" t="s">
        <v>6803</v>
      </c>
      <c r="N174" s="3073"/>
      <c r="O174" s="3100"/>
      <c r="P174" s="3101"/>
      <c r="Q174" s="3101"/>
      <c r="R174" s="3101"/>
      <c r="S174" s="3102" t="s">
        <v>295</v>
      </c>
      <c r="T174" s="3102" t="s">
        <v>213</v>
      </c>
      <c r="U174" s="3103">
        <v>1601</v>
      </c>
      <c r="V174" s="3103" t="s">
        <v>295</v>
      </c>
      <c r="W174" s="3103" t="s">
        <v>6797</v>
      </c>
      <c r="X174" s="3103" t="s">
        <v>213</v>
      </c>
      <c r="Y174" s="3104" t="s">
        <v>164</v>
      </c>
    </row>
    <row r="175" spans="1:25" ht="17" hidden="1">
      <c r="A175" s="1304"/>
      <c r="B175" s="643">
        <v>1601</v>
      </c>
      <c r="C175" s="643" t="s">
        <v>1156</v>
      </c>
      <c r="D175" s="3088">
        <v>2</v>
      </c>
      <c r="E175" s="3089" t="str">
        <f t="shared" si="17"/>
        <v>固定资产</v>
      </c>
      <c r="F175" s="3090" t="s">
        <v>1157</v>
      </c>
      <c r="G175" s="3091">
        <f t="shared" si="18"/>
        <v>0</v>
      </c>
      <c r="H175" s="3092" t="s">
        <v>6799</v>
      </c>
      <c r="I175" s="3094" t="s">
        <v>6803</v>
      </c>
      <c r="J175" s="3073"/>
      <c r="K175" s="3091">
        <f t="shared" si="22"/>
        <v>0</v>
      </c>
      <c r="L175" s="3072" t="s">
        <v>6799</v>
      </c>
      <c r="M175" s="3094" t="s">
        <v>6803</v>
      </c>
      <c r="N175" s="3073"/>
      <c r="O175" s="3100"/>
      <c r="P175" s="3101"/>
      <c r="Q175" s="3101"/>
      <c r="R175" s="3101"/>
      <c r="S175" s="3102" t="s">
        <v>295</v>
      </c>
      <c r="T175" s="3102" t="s">
        <v>213</v>
      </c>
      <c r="U175" s="3103">
        <v>1601</v>
      </c>
      <c r="V175" s="3103" t="s">
        <v>295</v>
      </c>
      <c r="W175" s="3103" t="s">
        <v>6797</v>
      </c>
      <c r="X175" s="3103" t="s">
        <v>213</v>
      </c>
      <c r="Y175" s="3104" t="s">
        <v>164</v>
      </c>
    </row>
    <row r="176" spans="1:25" ht="26" hidden="1">
      <c r="A176" s="1304"/>
      <c r="B176" s="643">
        <v>1601</v>
      </c>
      <c r="C176" s="643" t="s">
        <v>1162</v>
      </c>
      <c r="D176" s="3088">
        <v>2</v>
      </c>
      <c r="E176" s="3089" t="str">
        <f t="shared" si="17"/>
        <v>固定资产</v>
      </c>
      <c r="F176" s="3090" t="s">
        <v>1163</v>
      </c>
      <c r="G176" s="3091">
        <f t="shared" si="18"/>
        <v>0</v>
      </c>
      <c r="H176" s="3092">
        <f t="shared" ref="H176:H181" ca="1" si="24">INDIRECT("Notes!CheckA"&amp;$C176)</f>
        <v>0</v>
      </c>
      <c r="I176" s="3094" t="s">
        <v>6803</v>
      </c>
      <c r="J176" s="3073"/>
      <c r="K176" s="3091">
        <f t="shared" si="22"/>
        <v>0</v>
      </c>
      <c r="L176" s="3072" t="s">
        <v>6799</v>
      </c>
      <c r="M176" s="3094" t="s">
        <v>6803</v>
      </c>
      <c r="N176" s="3073"/>
      <c r="O176" s="3100"/>
      <c r="P176" s="3101"/>
      <c r="Q176" s="3101"/>
      <c r="R176" s="3101"/>
      <c r="S176" s="3102" t="s">
        <v>295</v>
      </c>
      <c r="T176" s="3102" t="s">
        <v>213</v>
      </c>
      <c r="U176" s="3103">
        <v>1601</v>
      </c>
      <c r="V176" s="3103" t="s">
        <v>295</v>
      </c>
      <c r="W176" s="3103" t="s">
        <v>6797</v>
      </c>
      <c r="X176" s="3103" t="s">
        <v>213</v>
      </c>
      <c r="Y176" s="3104" t="s">
        <v>164</v>
      </c>
    </row>
    <row r="177" spans="1:25" ht="17">
      <c r="A177" s="1304"/>
      <c r="B177" s="643">
        <v>1606</v>
      </c>
      <c r="C177" s="643" t="s">
        <v>1165</v>
      </c>
      <c r="D177" s="3088">
        <v>1</v>
      </c>
      <c r="E177" s="3089" t="str">
        <f t="shared" si="17"/>
        <v>固定资产清理</v>
      </c>
      <c r="F177" s="3090" t="s">
        <v>1166</v>
      </c>
      <c r="G177" s="3091">
        <f t="shared" si="18"/>
        <v>0</v>
      </c>
      <c r="H177" s="3092">
        <f t="shared" ca="1" si="24"/>
        <v>0</v>
      </c>
      <c r="I177" s="3094">
        <f ca="1">IF(AND(LEN(G177)&gt;0,LEN(H177)&gt;0),ROUND(SUM(G177)-SUM(H177),2),"")</f>
        <v>0</v>
      </c>
      <c r="J177" s="3073" t="str">
        <f ca="1">IF(ISNA(I177),"N/A",IF(I177=0,"√","？"))</f>
        <v>√</v>
      </c>
      <c r="K177" s="3091">
        <f t="shared" si="22"/>
        <v>0</v>
      </c>
      <c r="L177" s="3072">
        <f ca="1">INDIRECT("Notes!CheckB"&amp;$C177)</f>
        <v>0</v>
      </c>
      <c r="M177" s="3094">
        <f ca="1">IF(AND(LEN(K177)&gt;0,LEN(L177)&gt;0),ROUND(SUM(K177)-SUM(L177),2),"")</f>
        <v>0</v>
      </c>
      <c r="N177" s="3073" t="str">
        <f ca="1">IF(ISNA(M177),"N/A",IF(M177=0,"√","？"))</f>
        <v>√</v>
      </c>
      <c r="O177" s="3100"/>
      <c r="P177" s="3101"/>
      <c r="Q177" s="3101"/>
      <c r="R177" s="3101"/>
      <c r="S177" s="3102" t="s">
        <v>295</v>
      </c>
      <c r="T177" s="3102" t="s">
        <v>213</v>
      </c>
      <c r="U177" s="3103"/>
      <c r="V177" s="3103" t="s">
        <v>295</v>
      </c>
      <c r="W177" s="3103" t="s">
        <v>6797</v>
      </c>
      <c r="X177" s="3103" t="s">
        <v>6798</v>
      </c>
      <c r="Y177" s="3104" t="s">
        <v>164</v>
      </c>
    </row>
    <row r="178" spans="1:25" ht="17" hidden="1">
      <c r="A178" s="1304"/>
      <c r="B178" s="643">
        <v>1606</v>
      </c>
      <c r="C178" s="643" t="s">
        <v>1170</v>
      </c>
      <c r="D178" s="3088">
        <v>2</v>
      </c>
      <c r="E178" s="3089" t="str">
        <f t="shared" si="17"/>
        <v>固定资产清理</v>
      </c>
      <c r="F178" s="3090" t="s">
        <v>6447</v>
      </c>
      <c r="G178" s="3091">
        <f t="shared" si="18"/>
        <v>0</v>
      </c>
      <c r="H178" s="3092">
        <f t="shared" ca="1" si="24"/>
        <v>0</v>
      </c>
      <c r="I178" s="3094" t="s">
        <v>6803</v>
      </c>
      <c r="J178" s="3073"/>
      <c r="K178" s="3091">
        <f t="shared" si="22"/>
        <v>0</v>
      </c>
      <c r="L178" s="3072">
        <f ca="1">INDIRECT("Notes!CheckB"&amp;$C178)</f>
        <v>0</v>
      </c>
      <c r="M178" s="3094" t="s">
        <v>6803</v>
      </c>
      <c r="N178" s="3073"/>
      <c r="O178" s="3100"/>
      <c r="P178" s="3101"/>
      <c r="Q178" s="3101"/>
      <c r="R178" s="3101"/>
      <c r="S178" s="3102" t="s">
        <v>295</v>
      </c>
      <c r="T178" s="3102" t="s">
        <v>213</v>
      </c>
      <c r="U178" s="3103"/>
      <c r="V178" s="3103" t="s">
        <v>295</v>
      </c>
      <c r="W178" s="3103" t="s">
        <v>6797</v>
      </c>
      <c r="X178" s="3103" t="s">
        <v>213</v>
      </c>
      <c r="Y178" s="3104" t="s">
        <v>164</v>
      </c>
    </row>
    <row r="179" spans="1:25" ht="17">
      <c r="A179" s="1304"/>
      <c r="B179" s="643">
        <v>1616</v>
      </c>
      <c r="C179" s="643" t="s">
        <v>1174</v>
      </c>
      <c r="D179" s="3088">
        <v>1</v>
      </c>
      <c r="E179" s="3089" t="str">
        <f t="shared" si="17"/>
        <v>在建工程（报表项目）</v>
      </c>
      <c r="F179" s="3090" t="s">
        <v>1175</v>
      </c>
      <c r="G179" s="3091">
        <f t="shared" si="18"/>
        <v>0</v>
      </c>
      <c r="H179" s="3092">
        <f t="shared" ca="1" si="24"/>
        <v>0</v>
      </c>
      <c r="I179" s="3094">
        <f ca="1">IF(AND(LEN(G179)&gt;0,LEN(H179)&gt;0),ROUND(SUM(G179)-SUM(H179),2),"")</f>
        <v>0</v>
      </c>
      <c r="J179" s="3073" t="str">
        <f ca="1">IF(ISNA(I179),"N/A",IF(I179=0,"√","？"))</f>
        <v>√</v>
      </c>
      <c r="K179" s="3091">
        <f t="shared" si="22"/>
        <v>0</v>
      </c>
      <c r="L179" s="3072">
        <f ca="1">INDIRECT("Notes!CheckB"&amp;$C179)</f>
        <v>0</v>
      </c>
      <c r="M179" s="3094">
        <f ca="1">IF(AND(LEN(K179)&gt;0,LEN(L179)&gt;0),ROUND(SUM(K179)-SUM(L179),2),"")</f>
        <v>0</v>
      </c>
      <c r="N179" s="3073" t="str">
        <f ca="1">IF(ISNA(M179),"N/A",IF(M179=0,"√","？"))</f>
        <v>√</v>
      </c>
      <c r="O179" s="3100"/>
      <c r="P179" s="3101"/>
      <c r="Q179" s="3101"/>
      <c r="R179" s="3101"/>
      <c r="S179" s="3102" t="s">
        <v>295</v>
      </c>
      <c r="T179" s="3102" t="s">
        <v>213</v>
      </c>
      <c r="U179" s="3103"/>
      <c r="V179" s="3103" t="s">
        <v>295</v>
      </c>
      <c r="W179" s="3103" t="s">
        <v>6797</v>
      </c>
      <c r="X179" s="3103" t="s">
        <v>6798</v>
      </c>
      <c r="Y179" s="3104" t="s">
        <v>164</v>
      </c>
    </row>
    <row r="180" spans="1:25" ht="17">
      <c r="A180" s="1304"/>
      <c r="B180" s="643">
        <v>1604</v>
      </c>
      <c r="C180" s="643" t="s">
        <v>1179</v>
      </c>
      <c r="D180" s="3088">
        <v>1</v>
      </c>
      <c r="E180" s="3089" t="str">
        <f t="shared" si="17"/>
        <v>在建工程</v>
      </c>
      <c r="F180" s="3090" t="s">
        <v>1180</v>
      </c>
      <c r="G180" s="3091">
        <f t="shared" si="18"/>
        <v>0</v>
      </c>
      <c r="H180" s="3092">
        <f t="shared" ca="1" si="24"/>
        <v>0</v>
      </c>
      <c r="I180" s="3094">
        <f ca="1">IF(AND(LEN(G180)&gt;0,LEN(H180)&gt;0),ROUND(SUM(G180)-SUM(H180),2),"")</f>
        <v>0</v>
      </c>
      <c r="J180" s="3073" t="str">
        <f ca="1">IF(ISNA(I180),"N/A",IF(I180=0,"√","？"))</f>
        <v>√</v>
      </c>
      <c r="K180" s="3091">
        <f t="shared" si="22"/>
        <v>0</v>
      </c>
      <c r="L180" s="3072">
        <f ca="1">INDIRECT("Notes!CheckB"&amp;$C180)</f>
        <v>0</v>
      </c>
      <c r="M180" s="3094">
        <f ca="1">IF(AND(LEN(K180)&gt;0,LEN(L180)&gt;0),ROUND(SUM(K180)-SUM(L180),2),"")</f>
        <v>0</v>
      </c>
      <c r="N180" s="3073" t="str">
        <f ca="1">IF(ISNA(M180),"N/A",IF(M180=0,"√","？"))</f>
        <v>√</v>
      </c>
      <c r="O180" s="3100"/>
      <c r="P180" s="3101"/>
      <c r="Q180" s="3101"/>
      <c r="R180" s="3101"/>
      <c r="S180" s="3102" t="s">
        <v>295</v>
      </c>
      <c r="T180" s="3102" t="s">
        <v>213</v>
      </c>
      <c r="U180" s="3103"/>
      <c r="V180" s="3103" t="s">
        <v>295</v>
      </c>
      <c r="W180" s="3103" t="s">
        <v>6797</v>
      </c>
      <c r="X180" s="3103" t="s">
        <v>6798</v>
      </c>
      <c r="Y180" s="3104" t="s">
        <v>164</v>
      </c>
    </row>
    <row r="181" spans="1:25" ht="26" hidden="1">
      <c r="A181" s="1304"/>
      <c r="B181" s="643">
        <v>1604</v>
      </c>
      <c r="C181" s="643" t="s">
        <v>1190</v>
      </c>
      <c r="D181" s="3088">
        <v>2</v>
      </c>
      <c r="E181" s="3089" t="str">
        <f t="shared" si="17"/>
        <v>在建工程</v>
      </c>
      <c r="F181" s="3090" t="s">
        <v>1191</v>
      </c>
      <c r="G181" s="3091">
        <f t="shared" si="18"/>
        <v>0</v>
      </c>
      <c r="H181" s="3092">
        <f t="shared" ca="1" si="24"/>
        <v>0</v>
      </c>
      <c r="I181" s="3094" t="s">
        <v>6803</v>
      </c>
      <c r="J181" s="3073"/>
      <c r="K181" s="3091">
        <f t="shared" si="22"/>
        <v>0</v>
      </c>
      <c r="L181" s="3072">
        <f ca="1">INDIRECT("Notes!CheckB"&amp;$C181)</f>
        <v>0</v>
      </c>
      <c r="M181" s="3094" t="s">
        <v>6803</v>
      </c>
      <c r="N181" s="3073"/>
      <c r="O181" s="3100"/>
      <c r="P181" s="3101"/>
      <c r="Q181" s="3101"/>
      <c r="R181" s="3101"/>
      <c r="S181" s="3102" t="s">
        <v>295</v>
      </c>
      <c r="T181" s="3102" t="s">
        <v>213</v>
      </c>
      <c r="U181" s="3103"/>
      <c r="V181" s="3103" t="s">
        <v>295</v>
      </c>
      <c r="W181" s="3103" t="s">
        <v>6797</v>
      </c>
      <c r="X181" s="3103" t="s">
        <v>6798</v>
      </c>
      <c r="Y181" s="3104" t="s">
        <v>164</v>
      </c>
    </row>
    <row r="182" spans="1:25" ht="26" hidden="1">
      <c r="A182" s="1304"/>
      <c r="B182" s="643">
        <v>1604</v>
      </c>
      <c r="C182" s="643" t="s">
        <v>1193</v>
      </c>
      <c r="D182" s="3088">
        <v>2</v>
      </c>
      <c r="E182" s="3089" t="str">
        <f t="shared" si="17"/>
        <v>在建工程</v>
      </c>
      <c r="F182" s="3090" t="s">
        <v>1194</v>
      </c>
      <c r="G182" s="3091">
        <f t="shared" si="18"/>
        <v>0</v>
      </c>
      <c r="H182" s="3092" t="s">
        <v>6799</v>
      </c>
      <c r="I182" s="3094" t="s">
        <v>6803</v>
      </c>
      <c r="J182" s="3073"/>
      <c r="K182" s="3091">
        <f t="shared" si="22"/>
        <v>0</v>
      </c>
      <c r="L182" s="3072" t="s">
        <v>6799</v>
      </c>
      <c r="M182" s="3094" t="s">
        <v>6803</v>
      </c>
      <c r="N182" s="3073"/>
      <c r="O182" s="3100"/>
      <c r="P182" s="3101"/>
      <c r="Q182" s="3101"/>
      <c r="R182" s="3101"/>
      <c r="S182" s="3102" t="s">
        <v>295</v>
      </c>
      <c r="T182" s="3102" t="s">
        <v>213</v>
      </c>
      <c r="U182" s="3103"/>
      <c r="V182" s="3103" t="s">
        <v>295</v>
      </c>
      <c r="W182" s="3103" t="s">
        <v>6797</v>
      </c>
      <c r="X182" s="3103" t="s">
        <v>6798</v>
      </c>
      <c r="Y182" s="3104" t="s">
        <v>164</v>
      </c>
    </row>
    <row r="183" spans="1:25" ht="26" hidden="1">
      <c r="A183" s="1304"/>
      <c r="B183" s="643">
        <v>1604</v>
      </c>
      <c r="C183" s="643" t="s">
        <v>1186</v>
      </c>
      <c r="D183" s="3088">
        <v>2</v>
      </c>
      <c r="E183" s="3089" t="str">
        <f t="shared" si="17"/>
        <v>在建工程</v>
      </c>
      <c r="F183" s="3090" t="s">
        <v>6448</v>
      </c>
      <c r="G183" s="3091">
        <f t="shared" si="18"/>
        <v>0</v>
      </c>
      <c r="H183" s="3092">
        <f t="shared" ref="H183:H190" ca="1" si="25">INDIRECT("Notes!CheckA"&amp;$C183)</f>
        <v>0</v>
      </c>
      <c r="I183" s="3094" t="s">
        <v>6803</v>
      </c>
      <c r="J183" s="3073"/>
      <c r="K183" s="3091">
        <f t="shared" si="22"/>
        <v>0</v>
      </c>
      <c r="L183" s="3072">
        <f ca="1">INDIRECT("Notes!CheckB"&amp;$C183)</f>
        <v>0</v>
      </c>
      <c r="M183" s="3094" t="s">
        <v>6803</v>
      </c>
      <c r="N183" s="3073"/>
      <c r="O183" s="3100"/>
      <c r="P183" s="3101"/>
      <c r="Q183" s="3101"/>
      <c r="R183" s="3101"/>
      <c r="S183" s="3102" t="s">
        <v>295</v>
      </c>
      <c r="T183" s="3102" t="s">
        <v>213</v>
      </c>
      <c r="U183" s="3103"/>
      <c r="V183" s="3103" t="s">
        <v>295</v>
      </c>
      <c r="W183" s="3103" t="s">
        <v>145</v>
      </c>
      <c r="X183" s="3103" t="s">
        <v>6800</v>
      </c>
      <c r="Y183" s="3104" t="s">
        <v>164</v>
      </c>
    </row>
    <row r="184" spans="1:25" ht="26" hidden="1">
      <c r="A184" s="1304"/>
      <c r="B184" s="643">
        <v>1604</v>
      </c>
      <c r="C184" s="643" t="s">
        <v>1196</v>
      </c>
      <c r="D184" s="3088">
        <v>2</v>
      </c>
      <c r="E184" s="3089" t="str">
        <f t="shared" si="17"/>
        <v>在建工程</v>
      </c>
      <c r="F184" s="3090" t="s">
        <v>6449</v>
      </c>
      <c r="G184" s="3091">
        <f t="shared" si="18"/>
        <v>0</v>
      </c>
      <c r="H184" s="3092">
        <f t="shared" ca="1" si="25"/>
        <v>0</v>
      </c>
      <c r="I184" s="3094" t="s">
        <v>6803</v>
      </c>
      <c r="J184" s="3073"/>
      <c r="K184" s="3091">
        <f t="shared" si="22"/>
        <v>0</v>
      </c>
      <c r="L184" s="3072" t="s">
        <v>6799</v>
      </c>
      <c r="M184" s="3094" t="s">
        <v>6803</v>
      </c>
      <c r="N184" s="3073"/>
      <c r="O184" s="3100"/>
      <c r="P184" s="3101"/>
      <c r="Q184" s="3101"/>
      <c r="R184" s="3101"/>
      <c r="S184" s="3102" t="s">
        <v>213</v>
      </c>
      <c r="T184" s="3102" t="s">
        <v>213</v>
      </c>
      <c r="U184" s="3103"/>
      <c r="V184" s="3103" t="s">
        <v>295</v>
      </c>
      <c r="W184" s="3103" t="s">
        <v>6802</v>
      </c>
      <c r="X184" s="3103" t="s">
        <v>6801</v>
      </c>
      <c r="Y184" s="3104" t="s">
        <v>164</v>
      </c>
    </row>
    <row r="185" spans="1:25" ht="17">
      <c r="A185" s="1304"/>
      <c r="B185" s="643">
        <v>1605</v>
      </c>
      <c r="C185" s="643" t="s">
        <v>1198</v>
      </c>
      <c r="D185" s="3088">
        <v>1</v>
      </c>
      <c r="E185" s="3089" t="str">
        <f t="shared" si="17"/>
        <v>工程物资</v>
      </c>
      <c r="F185" s="3090" t="s">
        <v>1199</v>
      </c>
      <c r="G185" s="3091">
        <f t="shared" si="18"/>
        <v>0</v>
      </c>
      <c r="H185" s="3092">
        <f t="shared" ca="1" si="25"/>
        <v>0</v>
      </c>
      <c r="I185" s="3094">
        <f ca="1">IF(AND(LEN(G185)&gt;0,LEN(H185)&gt;0),ROUND(SUM(G185)-SUM(H185),2),"")</f>
        <v>0</v>
      </c>
      <c r="J185" s="3073" t="str">
        <f ca="1">IF(ISNA(I185),"N/A",IF(I185=0,"√","？"))</f>
        <v>√</v>
      </c>
      <c r="K185" s="3091">
        <f t="shared" si="22"/>
        <v>0</v>
      </c>
      <c r="L185" s="3072">
        <f ca="1">INDIRECT("Notes!CheckB"&amp;$C185)</f>
        <v>0</v>
      </c>
      <c r="M185" s="3094">
        <f ca="1">IF(AND(LEN(K185)&gt;0,LEN(L185)&gt;0),ROUND(SUM(K185)-SUM(L185),2),"")</f>
        <v>0</v>
      </c>
      <c r="N185" s="3073" t="str">
        <f ca="1">IF(ISNA(M185),"N/A",IF(M185=0,"√","？"))</f>
        <v>√</v>
      </c>
      <c r="O185" s="3100"/>
      <c r="P185" s="3101"/>
      <c r="Q185" s="3101"/>
      <c r="R185" s="3101"/>
      <c r="S185" s="3102" t="s">
        <v>295</v>
      </c>
      <c r="T185" s="3102" t="s">
        <v>213</v>
      </c>
      <c r="U185" s="3103"/>
      <c r="V185" s="3103" t="s">
        <v>295</v>
      </c>
      <c r="W185" s="3103" t="s">
        <v>6797</v>
      </c>
      <c r="X185" s="3103" t="s">
        <v>6798</v>
      </c>
      <c r="Y185" s="3104" t="s">
        <v>164</v>
      </c>
    </row>
    <row r="186" spans="1:25" ht="26">
      <c r="A186" s="1304"/>
      <c r="B186" s="643">
        <v>1621</v>
      </c>
      <c r="C186" s="643" t="s">
        <v>1205</v>
      </c>
      <c r="D186" s="3088">
        <v>1</v>
      </c>
      <c r="E186" s="3089" t="str">
        <f t="shared" si="17"/>
        <v>生产性生物资产</v>
      </c>
      <c r="F186" s="3090" t="s">
        <v>5357</v>
      </c>
      <c r="G186" s="3091">
        <f t="shared" si="18"/>
        <v>0</v>
      </c>
      <c r="H186" s="3092">
        <f t="shared" ca="1" si="25"/>
        <v>0</v>
      </c>
      <c r="I186" s="3094">
        <f ca="1">IF(AND(LEN(G186)&gt;0,LEN(H186)&gt;0),ROUND(SUM(G186)-SUM(H186),2),"")</f>
        <v>0</v>
      </c>
      <c r="J186" s="3073" t="str">
        <f ca="1">IF(ISNA(I186),"N/A",IF(I186=0,"√","？"))</f>
        <v>√</v>
      </c>
      <c r="K186" s="3091">
        <f t="shared" si="22"/>
        <v>0</v>
      </c>
      <c r="L186" s="3072">
        <f ca="1">INDIRECT("Notes!CheckB"&amp;$C186)</f>
        <v>0</v>
      </c>
      <c r="M186" s="3094">
        <f ca="1">IF(AND(LEN(K186)&gt;0,LEN(L186)&gt;0),ROUND(SUM(K186)-SUM(L186),2),"")</f>
        <v>0</v>
      </c>
      <c r="N186" s="3073" t="str">
        <f ca="1">IF(ISNA(M186),"N/A",IF(M186=0,"√","？"))</f>
        <v>√</v>
      </c>
      <c r="O186" s="3100"/>
      <c r="P186" s="3101"/>
      <c r="Q186" s="3101"/>
      <c r="R186" s="3101"/>
      <c r="S186" s="3102" t="s">
        <v>295</v>
      </c>
      <c r="T186" s="3102" t="s">
        <v>213</v>
      </c>
      <c r="U186" s="3103">
        <v>1621</v>
      </c>
      <c r="V186" s="3103" t="s">
        <v>295</v>
      </c>
      <c r="W186" s="3103" t="s">
        <v>6797</v>
      </c>
      <c r="X186" s="3103" t="s">
        <v>6798</v>
      </c>
      <c r="Y186" s="3104" t="s">
        <v>164</v>
      </c>
    </row>
    <row r="187" spans="1:25" ht="26" hidden="1">
      <c r="A187" s="1304"/>
      <c r="B187" s="643">
        <v>1621</v>
      </c>
      <c r="C187" s="643" t="s">
        <v>1223</v>
      </c>
      <c r="D187" s="3088">
        <v>2</v>
      </c>
      <c r="E187" s="3089" t="str">
        <f t="shared" si="17"/>
        <v>生产性生物资产</v>
      </c>
      <c r="F187" s="3090" t="s">
        <v>1224</v>
      </c>
      <c r="G187" s="3091">
        <f t="shared" si="18"/>
        <v>0</v>
      </c>
      <c r="H187" s="3092">
        <f t="shared" ca="1" si="25"/>
        <v>0</v>
      </c>
      <c r="I187" s="3094" t="s">
        <v>6803</v>
      </c>
      <c r="J187" s="3073"/>
      <c r="K187" s="3091">
        <f t="shared" si="22"/>
        <v>0</v>
      </c>
      <c r="L187" s="3072">
        <f ca="1">INDIRECT("Notes!CheckB"&amp;$C187)</f>
        <v>0</v>
      </c>
      <c r="M187" s="3094" t="s">
        <v>6803</v>
      </c>
      <c r="N187" s="3073"/>
      <c r="O187" s="3100"/>
      <c r="P187" s="3101"/>
      <c r="Q187" s="3101"/>
      <c r="R187" s="3101"/>
      <c r="S187" s="3102" t="s">
        <v>295</v>
      </c>
      <c r="T187" s="3102" t="s">
        <v>213</v>
      </c>
      <c r="U187" s="3103">
        <v>1621</v>
      </c>
      <c r="V187" s="3103" t="s">
        <v>295</v>
      </c>
      <c r="W187" s="3103" t="s">
        <v>6797</v>
      </c>
      <c r="X187" s="3103" t="s">
        <v>6798</v>
      </c>
      <c r="Y187" s="3104" t="s">
        <v>164</v>
      </c>
    </row>
    <row r="188" spans="1:25" ht="17">
      <c r="A188" s="1304"/>
      <c r="B188" s="643">
        <v>1631</v>
      </c>
      <c r="C188" s="643" t="s">
        <v>1233</v>
      </c>
      <c r="D188" s="3088">
        <v>1</v>
      </c>
      <c r="E188" s="3089" t="str">
        <f t="shared" si="17"/>
        <v>油气资产</v>
      </c>
      <c r="F188" s="3090" t="s">
        <v>1234</v>
      </c>
      <c r="G188" s="3091">
        <f t="shared" si="18"/>
        <v>0</v>
      </c>
      <c r="H188" s="3092">
        <f t="shared" ca="1" si="25"/>
        <v>0</v>
      </c>
      <c r="I188" s="3094">
        <f ca="1">IF(AND(LEN(G188)&gt;0,LEN(H188)&gt;0),ROUND(SUM(G188)-SUM(H188),2),"")</f>
        <v>0</v>
      </c>
      <c r="J188" s="3073" t="str">
        <f ca="1">IF(ISNA(I188),"N/A",IF(I188=0,"√","？"))</f>
        <v>√</v>
      </c>
      <c r="K188" s="3091">
        <f t="shared" si="22"/>
        <v>0</v>
      </c>
      <c r="L188" s="3072">
        <f ca="1">INDIRECT("Notes!CheckB"&amp;$C188)</f>
        <v>0</v>
      </c>
      <c r="M188" s="3094">
        <f ca="1">IF(AND(LEN(K188)&gt;0,LEN(L188)&gt;0),ROUND(SUM(K188)-SUM(L188),2),"")</f>
        <v>0</v>
      </c>
      <c r="N188" s="3073" t="str">
        <f ca="1">IF(ISNA(M188),"N/A",IF(M188=0,"√","？"))</f>
        <v>√</v>
      </c>
      <c r="O188" s="3100"/>
      <c r="P188" s="3101"/>
      <c r="Q188" s="3101"/>
      <c r="R188" s="3101"/>
      <c r="S188" s="3102" t="s">
        <v>295</v>
      </c>
      <c r="T188" s="3102" t="s">
        <v>213</v>
      </c>
      <c r="U188" s="3103">
        <v>1631</v>
      </c>
      <c r="V188" s="3103" t="s">
        <v>295</v>
      </c>
      <c r="W188" s="3103" t="s">
        <v>6797</v>
      </c>
      <c r="X188" s="3103" t="s">
        <v>6798</v>
      </c>
      <c r="Y188" s="3104" t="s">
        <v>164</v>
      </c>
    </row>
    <row r="189" spans="1:25" ht="17">
      <c r="A189" s="1304"/>
      <c r="B189" s="643">
        <v>1701</v>
      </c>
      <c r="C189" s="643" t="s">
        <v>1245</v>
      </c>
      <c r="D189" s="3088">
        <v>1</v>
      </c>
      <c r="E189" s="3089" t="str">
        <f t="shared" si="17"/>
        <v>无形资产</v>
      </c>
      <c r="F189" s="3090" t="s">
        <v>1280</v>
      </c>
      <c r="G189" s="3091">
        <f t="shared" si="18"/>
        <v>0</v>
      </c>
      <c r="H189" s="3092">
        <f t="shared" ca="1" si="25"/>
        <v>0</v>
      </c>
      <c r="I189" s="3094">
        <f ca="1">IF(AND(LEN(G189)&gt;0,LEN(H189)&gt;0),ROUND(SUM(G189)-SUM(H189),2),"")</f>
        <v>0</v>
      </c>
      <c r="J189" s="3073" t="str">
        <f ca="1">IF(ISNA(I189),"N/A",IF(I189=0,"√","？"))</f>
        <v>√</v>
      </c>
      <c r="K189" s="3091">
        <f t="shared" si="22"/>
        <v>0</v>
      </c>
      <c r="L189" s="3072">
        <f ca="1">INDIRECT("Notes!CheckB"&amp;$C189)</f>
        <v>0</v>
      </c>
      <c r="M189" s="3094">
        <f ca="1">IF(AND(LEN(K189)&gt;0,LEN(L189)&gt;0),ROUND(SUM(K189)-SUM(L189),2),"")</f>
        <v>0</v>
      </c>
      <c r="N189" s="3073" t="str">
        <f ca="1">IF(ISNA(M189),"N/A",IF(M189=0,"√","？"))</f>
        <v>√</v>
      </c>
      <c r="O189" s="3100"/>
      <c r="P189" s="3101"/>
      <c r="Q189" s="3101"/>
      <c r="R189" s="3101"/>
      <c r="S189" s="3102" t="s">
        <v>295</v>
      </c>
      <c r="T189" s="3102" t="s">
        <v>213</v>
      </c>
      <c r="U189" s="3103"/>
      <c r="V189" s="3103" t="s">
        <v>295</v>
      </c>
      <c r="W189" s="3103" t="s">
        <v>6797</v>
      </c>
      <c r="X189" s="3103" t="s">
        <v>6798</v>
      </c>
      <c r="Y189" s="3104" t="s">
        <v>164</v>
      </c>
    </row>
    <row r="190" spans="1:25" ht="26" hidden="1">
      <c r="A190" s="1304"/>
      <c r="B190" s="643">
        <v>1701</v>
      </c>
      <c r="C190" s="643" t="s">
        <v>1264</v>
      </c>
      <c r="D190" s="3088">
        <v>2</v>
      </c>
      <c r="E190" s="3089" t="str">
        <f t="shared" si="17"/>
        <v>无形资产</v>
      </c>
      <c r="F190" s="3090" t="s">
        <v>1265</v>
      </c>
      <c r="G190" s="3091">
        <f t="shared" si="18"/>
        <v>0</v>
      </c>
      <c r="H190" s="3092">
        <f t="shared" ca="1" si="25"/>
        <v>0</v>
      </c>
      <c r="I190" s="3094" t="s">
        <v>6803</v>
      </c>
      <c r="J190" s="3073"/>
      <c r="K190" s="3091">
        <f t="shared" si="22"/>
        <v>0</v>
      </c>
      <c r="L190" s="3072" t="s">
        <v>6799</v>
      </c>
      <c r="M190" s="3094" t="s">
        <v>6803</v>
      </c>
      <c r="N190" s="3073"/>
      <c r="O190" s="3100"/>
      <c r="P190" s="3101"/>
      <c r="Q190" s="3101"/>
      <c r="R190" s="3101"/>
      <c r="S190" s="3102" t="s">
        <v>295</v>
      </c>
      <c r="T190" s="3102" t="s">
        <v>213</v>
      </c>
      <c r="U190" s="3103"/>
      <c r="V190" s="3103" t="s">
        <v>295</v>
      </c>
      <c r="W190" s="3103" t="s">
        <v>6797</v>
      </c>
      <c r="X190" s="3103" t="s">
        <v>6800</v>
      </c>
      <c r="Y190" s="3104" t="s">
        <v>164</v>
      </c>
    </row>
    <row r="191" spans="1:25" ht="39" hidden="1">
      <c r="A191" s="1304"/>
      <c r="B191" s="643">
        <v>1701</v>
      </c>
      <c r="C191" s="643" t="s">
        <v>1269</v>
      </c>
      <c r="D191" s="3088">
        <v>2</v>
      </c>
      <c r="E191" s="3089" t="str">
        <f t="shared" si="17"/>
        <v>无形资产</v>
      </c>
      <c r="F191" s="3090" t="s">
        <v>1270</v>
      </c>
      <c r="G191" s="3091">
        <f t="shared" si="18"/>
        <v>0</v>
      </c>
      <c r="H191" s="3092" t="s">
        <v>6799</v>
      </c>
      <c r="I191" s="3094" t="s">
        <v>6803</v>
      </c>
      <c r="J191" s="3073"/>
      <c r="K191" s="3091">
        <f t="shared" si="22"/>
        <v>0</v>
      </c>
      <c r="L191" s="3072" t="s">
        <v>6799</v>
      </c>
      <c r="M191" s="3094" t="s">
        <v>6803</v>
      </c>
      <c r="N191" s="3073"/>
      <c r="O191" s="3100"/>
      <c r="P191" s="3101"/>
      <c r="Q191" s="3101"/>
      <c r="R191" s="3101"/>
      <c r="S191" s="3102" t="s">
        <v>295</v>
      </c>
      <c r="T191" s="3102" t="s">
        <v>213</v>
      </c>
      <c r="U191" s="3103"/>
      <c r="V191" s="3103" t="s">
        <v>295</v>
      </c>
      <c r="W191" s="3103" t="s">
        <v>6797</v>
      </c>
      <c r="X191" s="3103" t="s">
        <v>213</v>
      </c>
      <c r="Y191" s="3104" t="s">
        <v>164</v>
      </c>
    </row>
    <row r="192" spans="1:25" ht="26" hidden="1">
      <c r="A192" s="1304"/>
      <c r="B192" s="643">
        <v>1701</v>
      </c>
      <c r="C192" s="643" t="s">
        <v>6054</v>
      </c>
      <c r="D192" s="3088">
        <v>2</v>
      </c>
      <c r="E192" s="3089" t="str">
        <f t="shared" si="17"/>
        <v>无形资产</v>
      </c>
      <c r="F192" s="3090" t="s">
        <v>6056</v>
      </c>
      <c r="G192" s="3091">
        <f t="shared" si="18"/>
        <v>0</v>
      </c>
      <c r="H192" s="3092">
        <f ca="1">INDIRECT("Notes!CheckA"&amp;$C192)</f>
        <v>0</v>
      </c>
      <c r="I192" s="3094" t="s">
        <v>6803</v>
      </c>
      <c r="J192" s="3073"/>
      <c r="K192" s="3091">
        <f t="shared" si="22"/>
        <v>0</v>
      </c>
      <c r="L192" s="3072" t="s">
        <v>6799</v>
      </c>
      <c r="M192" s="3094" t="s">
        <v>6803</v>
      </c>
      <c r="N192" s="3073"/>
      <c r="O192" s="3100"/>
      <c r="P192" s="3101"/>
      <c r="Q192" s="3101"/>
      <c r="R192" s="3101"/>
      <c r="S192" s="3102" t="s">
        <v>295</v>
      </c>
      <c r="T192" s="3102" t="s">
        <v>213</v>
      </c>
      <c r="U192" s="3103"/>
      <c r="V192" s="3103" t="s">
        <v>295</v>
      </c>
      <c r="W192" s="3103" t="s">
        <v>6797</v>
      </c>
      <c r="X192" s="3103" t="s">
        <v>213</v>
      </c>
      <c r="Y192" s="3104" t="s">
        <v>164</v>
      </c>
    </row>
    <row r="193" spans="1:25" ht="17" hidden="1">
      <c r="A193" s="1304"/>
      <c r="B193" s="643">
        <v>1701</v>
      </c>
      <c r="C193" s="643" t="s">
        <v>6055</v>
      </c>
      <c r="D193" s="3088">
        <v>2</v>
      </c>
      <c r="E193" s="3089" t="str">
        <f t="shared" si="17"/>
        <v>无形资产</v>
      </c>
      <c r="F193" s="3090" t="s">
        <v>6057</v>
      </c>
      <c r="G193" s="3091">
        <f t="shared" si="18"/>
        <v>0</v>
      </c>
      <c r="H193" s="3092">
        <f ca="1">INDIRECT("Notes!CheckA"&amp;$C193)</f>
        <v>0</v>
      </c>
      <c r="I193" s="3094" t="s">
        <v>6803</v>
      </c>
      <c r="J193" s="3073"/>
      <c r="K193" s="3091">
        <f t="shared" si="22"/>
        <v>0</v>
      </c>
      <c r="L193" s="3072">
        <f ca="1">INDIRECT("Notes!CheckB"&amp;$C193)</f>
        <v>0</v>
      </c>
      <c r="M193" s="3094" t="s">
        <v>6803</v>
      </c>
      <c r="N193" s="3073"/>
      <c r="O193" s="3100"/>
      <c r="P193" s="3101"/>
      <c r="Q193" s="3101"/>
      <c r="R193" s="3101"/>
      <c r="S193" s="3102" t="s">
        <v>295</v>
      </c>
      <c r="T193" s="3102" t="s">
        <v>213</v>
      </c>
      <c r="U193" s="3103"/>
      <c r="V193" s="3103" t="s">
        <v>295</v>
      </c>
      <c r="W193" s="3103" t="s">
        <v>6797</v>
      </c>
      <c r="X193" s="3103" t="s">
        <v>213</v>
      </c>
      <c r="Y193" s="3104" t="s">
        <v>164</v>
      </c>
    </row>
    <row r="194" spans="1:25" ht="26" hidden="1">
      <c r="A194" s="1304"/>
      <c r="B194" s="643">
        <v>1701</v>
      </c>
      <c r="C194" s="643" t="s">
        <v>1274</v>
      </c>
      <c r="D194" s="3088">
        <v>2</v>
      </c>
      <c r="E194" s="3089" t="str">
        <f t="shared" si="17"/>
        <v>无形资产</v>
      </c>
      <c r="F194" s="3090" t="s">
        <v>1275</v>
      </c>
      <c r="G194" s="3091">
        <f t="shared" si="18"/>
        <v>0</v>
      </c>
      <c r="H194" s="3092" t="s">
        <v>6799</v>
      </c>
      <c r="I194" s="3094" t="s">
        <v>6803</v>
      </c>
      <c r="J194" s="3073"/>
      <c r="K194" s="3091">
        <f t="shared" si="22"/>
        <v>0</v>
      </c>
      <c r="L194" s="3072" t="s">
        <v>6799</v>
      </c>
      <c r="M194" s="3094" t="s">
        <v>6803</v>
      </c>
      <c r="N194" s="3073"/>
      <c r="O194" s="3100"/>
      <c r="P194" s="3101"/>
      <c r="Q194" s="3101"/>
      <c r="R194" s="3101"/>
      <c r="S194" s="3102" t="s">
        <v>295</v>
      </c>
      <c r="T194" s="3102" t="s">
        <v>213</v>
      </c>
      <c r="U194" s="3103"/>
      <c r="V194" s="3103" t="s">
        <v>295</v>
      </c>
      <c r="W194" s="3103" t="s">
        <v>6797</v>
      </c>
      <c r="X194" s="3103" t="s">
        <v>213</v>
      </c>
      <c r="Y194" s="3104" t="s">
        <v>164</v>
      </c>
    </row>
    <row r="195" spans="1:25" ht="17">
      <c r="A195" s="1304"/>
      <c r="B195" s="643">
        <v>1700</v>
      </c>
      <c r="C195" s="643" t="s">
        <v>6067</v>
      </c>
      <c r="D195" s="3088">
        <v>1</v>
      </c>
      <c r="E195" s="3089" t="str">
        <f t="shared" si="17"/>
        <v>开发支出</v>
      </c>
      <c r="F195" s="3090" t="s">
        <v>1290</v>
      </c>
      <c r="G195" s="3091">
        <f t="shared" si="18"/>
        <v>0</v>
      </c>
      <c r="H195" s="3092">
        <f ca="1">INDIRECT("Notes!CheckA"&amp;$C195)</f>
        <v>0</v>
      </c>
      <c r="I195" s="3094">
        <f ca="1">IF(AND(LEN(G195)&gt;0,LEN(H195)&gt;0),ROUND(SUM(G195)-SUM(H195),2),"")</f>
        <v>0</v>
      </c>
      <c r="J195" s="3073" t="str">
        <f ca="1">IF(ISNA(I195),"N/A",IF(I195=0,"√","？"))</f>
        <v>√</v>
      </c>
      <c r="K195" s="3091">
        <f t="shared" si="22"/>
        <v>0</v>
      </c>
      <c r="L195" s="3072">
        <f ca="1">INDIRECT("Notes!CheckB"&amp;$C195)</f>
        <v>0</v>
      </c>
      <c r="M195" s="3094">
        <f ca="1">IF(AND(LEN(K195)&gt;0,LEN(L195)&gt;0),ROUND(SUM(K195)-SUM(L195),2),"")</f>
        <v>0</v>
      </c>
      <c r="N195" s="3073" t="str">
        <f ca="1">IF(ISNA(M195),"N/A",IF(M195=0,"√","？"))</f>
        <v>√</v>
      </c>
      <c r="O195" s="3100"/>
      <c r="P195" s="3101"/>
      <c r="Q195" s="3101"/>
      <c r="R195" s="3101"/>
      <c r="S195" s="3102" t="s">
        <v>295</v>
      </c>
      <c r="T195" s="3102" t="s">
        <v>213</v>
      </c>
      <c r="U195" s="3103"/>
      <c r="V195" s="3103" t="s">
        <v>295</v>
      </c>
      <c r="W195" s="3103" t="s">
        <v>6797</v>
      </c>
      <c r="X195" s="3103" t="s">
        <v>6798</v>
      </c>
      <c r="Y195" s="3104" t="s">
        <v>164</v>
      </c>
    </row>
    <row r="196" spans="1:25" ht="17">
      <c r="A196" s="1304"/>
      <c r="B196" s="643">
        <v>1711</v>
      </c>
      <c r="C196" s="643" t="s">
        <v>1294</v>
      </c>
      <c r="D196" s="3088">
        <v>1</v>
      </c>
      <c r="E196" s="3089" t="str">
        <f t="shared" si="17"/>
        <v>商誉</v>
      </c>
      <c r="F196" s="3090" t="s">
        <v>1295</v>
      </c>
      <c r="G196" s="3091">
        <f t="shared" si="18"/>
        <v>0</v>
      </c>
      <c r="H196" s="3092">
        <f ca="1">INDIRECT("Notes!CheckA"&amp;$C196)</f>
        <v>0</v>
      </c>
      <c r="I196" s="3094">
        <f ca="1">IF(AND(LEN(G196)&gt;0,LEN(H196)&gt;0),ROUND(SUM(G196)-SUM(H196),2),"")</f>
        <v>0</v>
      </c>
      <c r="J196" s="3073" t="str">
        <f ca="1">IF(ISNA(I196),"N/A",IF(I196=0,"√","？"))</f>
        <v>√</v>
      </c>
      <c r="K196" s="3091">
        <f t="shared" si="22"/>
        <v>0</v>
      </c>
      <c r="L196" s="3072">
        <f ca="1">INDIRECT("Notes!CheckB"&amp;$C196)</f>
        <v>0</v>
      </c>
      <c r="M196" s="3094">
        <f ca="1">IF(AND(LEN(K196)&gt;0,LEN(L196)&gt;0),ROUND(SUM(K196)-SUM(L196),2),"")</f>
        <v>0</v>
      </c>
      <c r="N196" s="3073" t="str">
        <f ca="1">IF(ISNA(M196),"N/A",IF(M196=0,"√","？"))</f>
        <v>√</v>
      </c>
      <c r="O196" s="3100"/>
      <c r="P196" s="3101"/>
      <c r="Q196" s="3101"/>
      <c r="R196" s="3101"/>
      <c r="S196" s="3102" t="s">
        <v>295</v>
      </c>
      <c r="T196" s="3102" t="s">
        <v>213</v>
      </c>
      <c r="U196" s="3103"/>
      <c r="V196" s="3103" t="s">
        <v>295</v>
      </c>
      <c r="W196" s="3103" t="s">
        <v>6797</v>
      </c>
      <c r="X196" s="3103" t="s">
        <v>6798</v>
      </c>
      <c r="Y196" s="3104" t="s">
        <v>164</v>
      </c>
    </row>
    <row r="197" spans="1:25" ht="17" hidden="1">
      <c r="A197" s="1304"/>
      <c r="B197" s="643">
        <v>1711</v>
      </c>
      <c r="C197" s="643" t="s">
        <v>1300</v>
      </c>
      <c r="D197" s="3088">
        <v>2</v>
      </c>
      <c r="E197" s="3089" t="str">
        <f t="shared" si="17"/>
        <v>商誉</v>
      </c>
      <c r="F197" s="3090" t="s">
        <v>583</v>
      </c>
      <c r="G197" s="3091">
        <f t="shared" si="18"/>
        <v>0</v>
      </c>
      <c r="H197" s="3092">
        <f ca="1">INDIRECT("Notes!CheckA"&amp;$C197)</f>
        <v>0</v>
      </c>
      <c r="I197" s="3094" t="s">
        <v>6803</v>
      </c>
      <c r="J197" s="3073"/>
      <c r="K197" s="3091">
        <f t="shared" si="22"/>
        <v>0</v>
      </c>
      <c r="L197" s="3072">
        <f ca="1">INDIRECT("Notes!CheckB"&amp;$C197)</f>
        <v>0</v>
      </c>
      <c r="M197" s="3094" t="s">
        <v>6803</v>
      </c>
      <c r="N197" s="3073"/>
      <c r="O197" s="3100"/>
      <c r="P197" s="3101"/>
      <c r="Q197" s="3101"/>
      <c r="R197" s="3101"/>
      <c r="S197" s="3102" t="s">
        <v>295</v>
      </c>
      <c r="T197" s="3102" t="s">
        <v>213</v>
      </c>
      <c r="U197" s="3103"/>
      <c r="V197" s="3103" t="s">
        <v>295</v>
      </c>
      <c r="W197" s="3103" t="s">
        <v>6797</v>
      </c>
      <c r="X197" s="3103" t="s">
        <v>6798</v>
      </c>
      <c r="Y197" s="3104" t="s">
        <v>164</v>
      </c>
    </row>
    <row r="198" spans="1:25" ht="17">
      <c r="A198" s="1304"/>
      <c r="B198" s="643">
        <v>1801</v>
      </c>
      <c r="C198" s="643" t="s">
        <v>1304</v>
      </c>
      <c r="D198" s="3088">
        <v>1</v>
      </c>
      <c r="E198" s="3089" t="str">
        <f t="shared" si="17"/>
        <v>长期待摊费用</v>
      </c>
      <c r="F198" s="3090" t="s">
        <v>1305</v>
      </c>
      <c r="G198" s="3091">
        <f t="shared" si="18"/>
        <v>0</v>
      </c>
      <c r="H198" s="3092">
        <f ca="1">INDIRECT("Notes!CheckA"&amp;$C198)</f>
        <v>0</v>
      </c>
      <c r="I198" s="3094">
        <f ca="1">IF(AND(LEN(G198)&gt;0,LEN(H198)&gt;0),ROUND(SUM(G198)-SUM(H198),2),"")</f>
        <v>0</v>
      </c>
      <c r="J198" s="3073" t="str">
        <f ca="1">IF(ISNA(I198),"N/A",IF(I198=0,"√","？"))</f>
        <v>√</v>
      </c>
      <c r="K198" s="3091">
        <f t="shared" si="22"/>
        <v>0</v>
      </c>
      <c r="L198" s="3072">
        <f ca="1">INDIRECT("Notes!CheckB"&amp;$C198)</f>
        <v>0</v>
      </c>
      <c r="M198" s="3094">
        <f ca="1">IF(AND(LEN(K198)&gt;0,LEN(L198)&gt;0),ROUND(SUM(K198)-SUM(L198),2),"")</f>
        <v>0</v>
      </c>
      <c r="N198" s="3073" t="str">
        <f ca="1">IF(ISNA(M198),"N/A",IF(M198=0,"√","？"))</f>
        <v>√</v>
      </c>
      <c r="O198" s="3100"/>
      <c r="P198" s="3101"/>
      <c r="Q198" s="3101"/>
      <c r="R198" s="3101"/>
      <c r="S198" s="3102" t="s">
        <v>295</v>
      </c>
      <c r="T198" s="3102" t="s">
        <v>213</v>
      </c>
      <c r="U198" s="3103"/>
      <c r="V198" s="3103" t="s">
        <v>295</v>
      </c>
      <c r="W198" s="3103" t="s">
        <v>6797</v>
      </c>
      <c r="X198" s="3103" t="s">
        <v>6798</v>
      </c>
      <c r="Y198" s="3104" t="s">
        <v>164</v>
      </c>
    </row>
    <row r="199" spans="1:25" ht="17" hidden="1">
      <c r="A199" s="1304"/>
      <c r="B199" s="643">
        <v>1801</v>
      </c>
      <c r="C199" s="643" t="s">
        <v>1310</v>
      </c>
      <c r="D199" s="3088">
        <v>2</v>
      </c>
      <c r="E199" s="3089" t="str">
        <f t="shared" si="17"/>
        <v>长期待摊费用</v>
      </c>
      <c r="F199" s="3090" t="s">
        <v>1311</v>
      </c>
      <c r="G199" s="3091">
        <f t="shared" si="18"/>
        <v>0</v>
      </c>
      <c r="H199" s="3092" t="s">
        <v>6799</v>
      </c>
      <c r="I199" s="3094" t="s">
        <v>6803</v>
      </c>
      <c r="J199" s="3073"/>
      <c r="K199" s="3091">
        <f t="shared" si="22"/>
        <v>0</v>
      </c>
      <c r="L199" s="3072" t="s">
        <v>6799</v>
      </c>
      <c r="M199" s="3094" t="s">
        <v>6803</v>
      </c>
      <c r="N199" s="3073"/>
      <c r="O199" s="3100"/>
      <c r="P199" s="3101"/>
      <c r="Q199" s="3101"/>
      <c r="R199" s="3101"/>
      <c r="S199" s="3102" t="s">
        <v>295</v>
      </c>
      <c r="T199" s="3102" t="s">
        <v>213</v>
      </c>
      <c r="U199" s="3103"/>
      <c r="V199" s="3103" t="s">
        <v>295</v>
      </c>
      <c r="W199" s="3103" t="s">
        <v>6797</v>
      </c>
      <c r="X199" s="3103" t="s">
        <v>213</v>
      </c>
      <c r="Y199" s="3104" t="s">
        <v>164</v>
      </c>
    </row>
    <row r="200" spans="1:25" ht="26">
      <c r="A200" s="1304"/>
      <c r="B200" s="643">
        <v>1811</v>
      </c>
      <c r="C200" s="643" t="s">
        <v>1315</v>
      </c>
      <c r="D200" s="3088">
        <v>1</v>
      </c>
      <c r="E200" s="3089" t="str">
        <f t="shared" si="17"/>
        <v>递延所得税资产</v>
      </c>
      <c r="F200" s="3090" t="s">
        <v>1316</v>
      </c>
      <c r="G200" s="3091">
        <f t="shared" si="18"/>
        <v>0</v>
      </c>
      <c r="H200" s="3092">
        <f ca="1">INDIRECT("Notes!CheckA"&amp;$C200)</f>
        <v>0</v>
      </c>
      <c r="I200" s="3094">
        <f ca="1">IF(AND(LEN(G200)&gt;0,LEN(H200)&gt;0),ROUND(SUM(G200)-SUM(H200),2),"")</f>
        <v>0</v>
      </c>
      <c r="J200" s="3073" t="str">
        <f ca="1">IF(ISNA(I200),"N/A",IF(I200=0,"√","？"))</f>
        <v>√</v>
      </c>
      <c r="K200" s="3091">
        <f t="shared" si="22"/>
        <v>0</v>
      </c>
      <c r="L200" s="3072">
        <f ca="1">INDIRECT("Notes!CheckB"&amp;$C200)</f>
        <v>0</v>
      </c>
      <c r="M200" s="3094">
        <f ca="1">IF(AND(LEN(K200)&gt;0,LEN(L200)&gt;0),ROUND(SUM(K200)-SUM(L200),2),"")</f>
        <v>0</v>
      </c>
      <c r="N200" s="3073" t="str">
        <f ca="1">IF(ISNA(M200),"N/A",IF(M200=0,"√","？"))</f>
        <v>√</v>
      </c>
      <c r="O200" s="3100"/>
      <c r="P200" s="3101"/>
      <c r="Q200" s="3101"/>
      <c r="R200" s="3101"/>
      <c r="S200" s="3102" t="s">
        <v>295</v>
      </c>
      <c r="T200" s="3102" t="s">
        <v>213</v>
      </c>
      <c r="U200" s="3103"/>
      <c r="V200" s="3103" t="s">
        <v>295</v>
      </c>
      <c r="W200" s="3103" t="s">
        <v>6797</v>
      </c>
      <c r="X200" s="3103" t="s">
        <v>6798</v>
      </c>
      <c r="Y200" s="3104" t="s">
        <v>164</v>
      </c>
    </row>
    <row r="201" spans="1:25" ht="26">
      <c r="A201" s="1304"/>
      <c r="B201" s="643">
        <v>2901</v>
      </c>
      <c r="C201" s="643" t="s">
        <v>1321</v>
      </c>
      <c r="D201" s="3088">
        <v>1</v>
      </c>
      <c r="E201" s="3089" t="str">
        <f t="shared" ref="E201:E264" si="26">IF(ISERROR(VLOOKUP($B201,Sheet_Items,2,0)),"        ----",VLOOKUP($B201,Sheet_Items,2,0))</f>
        <v>递延所得税负债</v>
      </c>
      <c r="F201" s="3090" t="s">
        <v>1322</v>
      </c>
      <c r="G201" s="3091">
        <f t="shared" ref="G201:G264" si="27">IF(ISERROR(VLOOKUP($B201,Sheet_Trialbal,6,0)),"        ----",VLOOKUP($B201,Sheet_Trialbal,6,0))</f>
        <v>0</v>
      </c>
      <c r="H201" s="3092">
        <f ca="1">INDIRECT("Notes!CheckA"&amp;$C201)</f>
        <v>0</v>
      </c>
      <c r="I201" s="3094">
        <f ca="1">IF(AND(LEN(G201)&gt;0,LEN(H201)&gt;0),ROUND(SUM(G201)-SUM(H201),2),"")</f>
        <v>0</v>
      </c>
      <c r="J201" s="3073" t="str">
        <f ca="1">IF(ISNA(I201),"N/A",IF(I201=0,"√","？"))</f>
        <v>√</v>
      </c>
      <c r="K201" s="3091">
        <f t="shared" si="22"/>
        <v>0</v>
      </c>
      <c r="L201" s="3072">
        <f ca="1">INDIRECT("Notes!CheckB"&amp;$C201)</f>
        <v>0</v>
      </c>
      <c r="M201" s="3094">
        <f ca="1">IF(AND(LEN(K201)&gt;0,LEN(L201)&gt;0),ROUND(SUM(K201)-SUM(L201),2),"")</f>
        <v>0</v>
      </c>
      <c r="N201" s="3073" t="str">
        <f ca="1">IF(ISNA(M201),"N/A",IF(M201=0,"√","？"))</f>
        <v>√</v>
      </c>
      <c r="O201" s="3100"/>
      <c r="P201" s="3101"/>
      <c r="Q201" s="3101"/>
      <c r="R201" s="3101"/>
      <c r="S201" s="3102" t="s">
        <v>295</v>
      </c>
      <c r="T201" s="3102" t="s">
        <v>213</v>
      </c>
      <c r="U201" s="3103"/>
      <c r="V201" s="3103" t="s">
        <v>295</v>
      </c>
      <c r="W201" s="3103" t="s">
        <v>6797</v>
      </c>
      <c r="X201" s="3103" t="s">
        <v>6798</v>
      </c>
      <c r="Y201" s="3104" t="s">
        <v>164</v>
      </c>
    </row>
    <row r="202" spans="1:25" ht="26" hidden="1">
      <c r="A202" s="1304"/>
      <c r="B202" s="643"/>
      <c r="C202" s="643" t="s">
        <v>1326</v>
      </c>
      <c r="D202" s="3088">
        <v>3</v>
      </c>
      <c r="E202" s="3089" t="str">
        <f t="shared" si="26"/>
        <v xml:space="preserve">        ----</v>
      </c>
      <c r="F202" s="3090" t="s">
        <v>1327</v>
      </c>
      <c r="G202" s="3091" t="str">
        <f t="shared" si="27"/>
        <v xml:space="preserve">        ----</v>
      </c>
      <c r="H202" s="3092" t="s">
        <v>6799</v>
      </c>
      <c r="I202" s="3094" t="s">
        <v>6803</v>
      </c>
      <c r="J202" s="3073"/>
      <c r="K202" s="3091" t="str">
        <f t="shared" si="22"/>
        <v xml:space="preserve">        ----</v>
      </c>
      <c r="L202" s="3072" t="s">
        <v>6799</v>
      </c>
      <c r="M202" s="3094" t="s">
        <v>6803</v>
      </c>
      <c r="N202" s="3073"/>
      <c r="O202" s="3100"/>
      <c r="P202" s="3101"/>
      <c r="Q202" s="3101"/>
      <c r="R202" s="3101"/>
      <c r="S202" s="3102" t="s">
        <v>295</v>
      </c>
      <c r="T202" s="3102" t="s">
        <v>213</v>
      </c>
      <c r="U202" s="3103"/>
      <c r="V202" s="3103" t="s">
        <v>295</v>
      </c>
      <c r="W202" s="3103" t="s">
        <v>6797</v>
      </c>
      <c r="X202" s="3103" t="s">
        <v>6798</v>
      </c>
      <c r="Y202" s="3104" t="s">
        <v>164</v>
      </c>
    </row>
    <row r="203" spans="1:25" ht="26" hidden="1">
      <c r="A203" s="1304"/>
      <c r="B203" s="643"/>
      <c r="C203" s="643" t="s">
        <v>1331</v>
      </c>
      <c r="D203" s="3088">
        <v>3</v>
      </c>
      <c r="E203" s="3089" t="str">
        <f t="shared" si="26"/>
        <v xml:space="preserve">        ----</v>
      </c>
      <c r="F203" s="3090" t="s">
        <v>1332</v>
      </c>
      <c r="G203" s="3091" t="str">
        <f t="shared" si="27"/>
        <v xml:space="preserve">        ----</v>
      </c>
      <c r="H203" s="3092" t="s">
        <v>6799</v>
      </c>
      <c r="I203" s="3094" t="s">
        <v>6803</v>
      </c>
      <c r="J203" s="3073"/>
      <c r="K203" s="3091" t="str">
        <f t="shared" si="22"/>
        <v xml:space="preserve">        ----</v>
      </c>
      <c r="L203" s="3072" t="s">
        <v>6799</v>
      </c>
      <c r="M203" s="3094" t="s">
        <v>6803</v>
      </c>
      <c r="N203" s="3073"/>
      <c r="O203" s="3100"/>
      <c r="P203" s="3101"/>
      <c r="Q203" s="3101"/>
      <c r="R203" s="3101"/>
      <c r="S203" s="3102" t="s">
        <v>295</v>
      </c>
      <c r="T203" s="3102" t="s">
        <v>213</v>
      </c>
      <c r="U203" s="3103"/>
      <c r="V203" s="3103" t="s">
        <v>295</v>
      </c>
      <c r="W203" s="3103" t="s">
        <v>6797</v>
      </c>
      <c r="X203" s="3103" t="s">
        <v>6798</v>
      </c>
      <c r="Y203" s="3104" t="s">
        <v>164</v>
      </c>
    </row>
    <row r="204" spans="1:25" ht="39" hidden="1">
      <c r="A204" s="1304"/>
      <c r="B204" s="643"/>
      <c r="C204" s="643" t="s">
        <v>1336</v>
      </c>
      <c r="D204" s="3088">
        <v>3</v>
      </c>
      <c r="E204" s="3089" t="str">
        <f t="shared" si="26"/>
        <v xml:space="preserve">        ----</v>
      </c>
      <c r="F204" s="3090" t="s">
        <v>1337</v>
      </c>
      <c r="G204" s="3091" t="str">
        <f t="shared" si="27"/>
        <v xml:space="preserve">        ----</v>
      </c>
      <c r="H204" s="3092">
        <f t="shared" ref="H204:H220" ca="1" si="28">INDIRECT("Notes!CheckA"&amp;$C204)</f>
        <v>0</v>
      </c>
      <c r="I204" s="3094" t="s">
        <v>6803</v>
      </c>
      <c r="J204" s="3073"/>
      <c r="K204" s="3091" t="str">
        <f t="shared" si="22"/>
        <v xml:space="preserve">        ----</v>
      </c>
      <c r="L204" s="3072">
        <f ca="1">INDIRECT("Notes!CheckB"&amp;$C204)</f>
        <v>0</v>
      </c>
      <c r="M204" s="3094" t="s">
        <v>6803</v>
      </c>
      <c r="N204" s="3073"/>
      <c r="O204" s="3100"/>
      <c r="P204" s="3101"/>
      <c r="Q204" s="3101"/>
      <c r="R204" s="3101"/>
      <c r="S204" s="3102" t="s">
        <v>295</v>
      </c>
      <c r="T204" s="3102" t="s">
        <v>213</v>
      </c>
      <c r="U204" s="3103"/>
      <c r="V204" s="3103" t="s">
        <v>295</v>
      </c>
      <c r="W204" s="3103" t="s">
        <v>6797</v>
      </c>
      <c r="X204" s="3103" t="s">
        <v>6798</v>
      </c>
      <c r="Y204" s="3104" t="s">
        <v>164</v>
      </c>
    </row>
    <row r="205" spans="1:25" ht="26">
      <c r="A205" s="1304"/>
      <c r="B205" s="643">
        <v>1996</v>
      </c>
      <c r="C205" s="643" t="s">
        <v>1341</v>
      </c>
      <c r="D205" s="3088">
        <v>1</v>
      </c>
      <c r="E205" s="3089" t="str">
        <f t="shared" si="26"/>
        <v>其他非流动资产</v>
      </c>
      <c r="F205" s="3090" t="s">
        <v>1342</v>
      </c>
      <c r="G205" s="3091">
        <f t="shared" si="27"/>
        <v>0</v>
      </c>
      <c r="H205" s="3092">
        <f t="shared" ca="1" si="28"/>
        <v>0</v>
      </c>
      <c r="I205" s="3094">
        <f ca="1">IF(AND(LEN(G205)&gt;0,LEN(H205)&gt;0),ROUND(SUM(G205)-SUM(H205),2),"")</f>
        <v>0</v>
      </c>
      <c r="J205" s="3073" t="str">
        <f ca="1">IF(ISNA(I205),"N/A",IF(I205=0,"√","？"))</f>
        <v>√</v>
      </c>
      <c r="K205" s="3091">
        <f t="shared" si="22"/>
        <v>0</v>
      </c>
      <c r="L205" s="3072">
        <f ca="1">INDIRECT("Notes!CheckB"&amp;$C205)</f>
        <v>0</v>
      </c>
      <c r="M205" s="3094">
        <f ca="1">IF(AND(LEN(K205)&gt;0,LEN(L205)&gt;0),ROUND(SUM(K205)-SUM(L205),2),"")</f>
        <v>0</v>
      </c>
      <c r="N205" s="3073" t="str">
        <f ca="1">IF(ISNA(M205),"N/A",IF(M205=0,"√","？"))</f>
        <v>√</v>
      </c>
      <c r="O205" s="3100"/>
      <c r="P205" s="3101"/>
      <c r="Q205" s="3101"/>
      <c r="R205" s="3101"/>
      <c r="S205" s="3102" t="s">
        <v>295</v>
      </c>
      <c r="T205" s="3102" t="s">
        <v>213</v>
      </c>
      <c r="U205" s="3103"/>
      <c r="V205" s="3103" t="s">
        <v>295</v>
      </c>
      <c r="W205" s="3103" t="s">
        <v>6797</v>
      </c>
      <c r="X205" s="3103" t="s">
        <v>6798</v>
      </c>
      <c r="Y205" s="3104" t="s">
        <v>164</v>
      </c>
    </row>
    <row r="206" spans="1:25" ht="17">
      <c r="A206" s="1304"/>
      <c r="B206" s="643">
        <v>2001</v>
      </c>
      <c r="C206" s="643" t="s">
        <v>1357</v>
      </c>
      <c r="D206" s="3088">
        <v>1</v>
      </c>
      <c r="E206" s="3089" t="str">
        <f t="shared" si="26"/>
        <v>短期借款</v>
      </c>
      <c r="F206" s="3090" t="s">
        <v>1358</v>
      </c>
      <c r="G206" s="3091">
        <f t="shared" si="27"/>
        <v>0</v>
      </c>
      <c r="H206" s="3092">
        <f t="shared" ca="1" si="28"/>
        <v>0</v>
      </c>
      <c r="I206" s="3094">
        <f ca="1">IF(AND(LEN(G206)&gt;0,LEN(H206)&gt;0),ROUND(SUM(G206)-SUM(H206),2),"")</f>
        <v>0</v>
      </c>
      <c r="J206" s="3073" t="str">
        <f ca="1">IF(ISNA(I206),"N/A",IF(I206=0,"√","？"))</f>
        <v>√</v>
      </c>
      <c r="K206" s="3091">
        <f t="shared" si="22"/>
        <v>0</v>
      </c>
      <c r="L206" s="3072">
        <f ca="1">INDIRECT("Notes!CheckB"&amp;$C206)</f>
        <v>0</v>
      </c>
      <c r="M206" s="3094">
        <f ca="1">IF(AND(LEN(K206)&gt;0,LEN(L206)&gt;0),ROUND(SUM(K206)-SUM(L206),2),"")</f>
        <v>0</v>
      </c>
      <c r="N206" s="3073" t="str">
        <f ca="1">IF(ISNA(M206),"N/A",IF(M206=0,"√","？"))</f>
        <v>√</v>
      </c>
      <c r="O206" s="3100"/>
      <c r="P206" s="3101"/>
      <c r="Q206" s="3101"/>
      <c r="R206" s="3101"/>
      <c r="S206" s="3102" t="s">
        <v>295</v>
      </c>
      <c r="T206" s="3102" t="s">
        <v>213</v>
      </c>
      <c r="U206" s="3103"/>
      <c r="V206" s="3103" t="s">
        <v>295</v>
      </c>
      <c r="W206" s="3103" t="s">
        <v>6797</v>
      </c>
      <c r="X206" s="3103" t="s">
        <v>6798</v>
      </c>
      <c r="Y206" s="3104" t="s">
        <v>164</v>
      </c>
    </row>
    <row r="207" spans="1:25" ht="26" hidden="1">
      <c r="A207" s="1304"/>
      <c r="B207" s="643">
        <v>2001</v>
      </c>
      <c r="C207" s="643" t="s">
        <v>1369</v>
      </c>
      <c r="D207" s="3088">
        <v>2</v>
      </c>
      <c r="E207" s="3089" t="str">
        <f t="shared" si="26"/>
        <v>短期借款</v>
      </c>
      <c r="F207" s="3090" t="s">
        <v>1370</v>
      </c>
      <c r="G207" s="3091">
        <f t="shared" si="27"/>
        <v>0</v>
      </c>
      <c r="H207" s="3092">
        <f t="shared" ca="1" si="28"/>
        <v>0</v>
      </c>
      <c r="I207" s="3094" t="s">
        <v>6803</v>
      </c>
      <c r="J207" s="3073"/>
      <c r="K207" s="3091">
        <f t="shared" si="22"/>
        <v>0</v>
      </c>
      <c r="L207" s="3072" t="s">
        <v>6799</v>
      </c>
      <c r="M207" s="3094" t="s">
        <v>6803</v>
      </c>
      <c r="N207" s="3073"/>
      <c r="O207" s="3100"/>
      <c r="P207" s="3101"/>
      <c r="Q207" s="3101"/>
      <c r="R207" s="3101"/>
      <c r="S207" s="3102" t="s">
        <v>295</v>
      </c>
      <c r="T207" s="3102" t="s">
        <v>213</v>
      </c>
      <c r="U207" s="3103"/>
      <c r="V207" s="3103" t="s">
        <v>295</v>
      </c>
      <c r="W207" s="3103" t="s">
        <v>6797</v>
      </c>
      <c r="X207" s="3103" t="s">
        <v>213</v>
      </c>
      <c r="Y207" s="3104" t="s">
        <v>164</v>
      </c>
    </row>
    <row r="208" spans="1:25" ht="26" hidden="1">
      <c r="A208" s="1304"/>
      <c r="B208" s="643">
        <v>2001</v>
      </c>
      <c r="C208" s="643" t="s">
        <v>1375</v>
      </c>
      <c r="D208" s="3088">
        <v>2</v>
      </c>
      <c r="E208" s="3089" t="str">
        <f t="shared" si="26"/>
        <v>短期借款</v>
      </c>
      <c r="F208" s="3090" t="s">
        <v>1376</v>
      </c>
      <c r="G208" s="3091">
        <f t="shared" si="27"/>
        <v>0</v>
      </c>
      <c r="H208" s="3092">
        <f t="shared" ca="1" si="28"/>
        <v>0</v>
      </c>
      <c r="I208" s="3094" t="s">
        <v>6803</v>
      </c>
      <c r="J208" s="3073"/>
      <c r="K208" s="3091">
        <f t="shared" si="22"/>
        <v>0</v>
      </c>
      <c r="L208" s="3072" t="s">
        <v>6799</v>
      </c>
      <c r="M208" s="3094" t="s">
        <v>6803</v>
      </c>
      <c r="N208" s="3073"/>
      <c r="O208" s="3100"/>
      <c r="P208" s="3101"/>
      <c r="Q208" s="3101"/>
      <c r="R208" s="3101"/>
      <c r="S208" s="3102" t="s">
        <v>295</v>
      </c>
      <c r="T208" s="3102" t="s">
        <v>213</v>
      </c>
      <c r="U208" s="3103"/>
      <c r="V208" s="3103" t="s">
        <v>295</v>
      </c>
      <c r="W208" s="3103" t="s">
        <v>6797</v>
      </c>
      <c r="X208" s="3103" t="s">
        <v>213</v>
      </c>
      <c r="Y208" s="3104" t="s">
        <v>164</v>
      </c>
    </row>
    <row r="209" spans="1:25" ht="26" hidden="1">
      <c r="A209" s="1304"/>
      <c r="B209" s="643">
        <v>2001</v>
      </c>
      <c r="C209" s="643" t="s">
        <v>1380</v>
      </c>
      <c r="D209" s="3088">
        <v>2</v>
      </c>
      <c r="E209" s="3089" t="str">
        <f t="shared" si="26"/>
        <v>短期借款</v>
      </c>
      <c r="F209" s="3090" t="s">
        <v>1381</v>
      </c>
      <c r="G209" s="3091">
        <f t="shared" si="27"/>
        <v>0</v>
      </c>
      <c r="H209" s="3092">
        <f t="shared" ca="1" si="28"/>
        <v>0</v>
      </c>
      <c r="I209" s="3094" t="s">
        <v>6803</v>
      </c>
      <c r="J209" s="3073"/>
      <c r="K209" s="3091">
        <f t="shared" si="22"/>
        <v>0</v>
      </c>
      <c r="L209" s="3072" t="s">
        <v>6799</v>
      </c>
      <c r="M209" s="3094" t="s">
        <v>6803</v>
      </c>
      <c r="N209" s="3073"/>
      <c r="O209" s="3100"/>
      <c r="P209" s="3101"/>
      <c r="Q209" s="3101"/>
      <c r="R209" s="3101"/>
      <c r="S209" s="3102" t="s">
        <v>295</v>
      </c>
      <c r="T209" s="3102" t="s">
        <v>213</v>
      </c>
      <c r="U209" s="3103"/>
      <c r="V209" s="3103" t="s">
        <v>295</v>
      </c>
      <c r="W209" s="3103" t="s">
        <v>6797</v>
      </c>
      <c r="X209" s="3103" t="s">
        <v>213</v>
      </c>
      <c r="Y209" s="3104" t="s">
        <v>164</v>
      </c>
    </row>
    <row r="210" spans="1:25" ht="26" hidden="1">
      <c r="A210" s="1304"/>
      <c r="B210" s="643">
        <v>2001</v>
      </c>
      <c r="C210" s="643" t="s">
        <v>1363</v>
      </c>
      <c r="D210" s="3088">
        <v>2</v>
      </c>
      <c r="E210" s="3089" t="str">
        <f t="shared" si="26"/>
        <v>短期借款</v>
      </c>
      <c r="F210" s="3090" t="s">
        <v>1364</v>
      </c>
      <c r="G210" s="3091">
        <f t="shared" si="27"/>
        <v>0</v>
      </c>
      <c r="H210" s="3092">
        <f t="shared" ca="1" si="28"/>
        <v>0</v>
      </c>
      <c r="I210" s="3094" t="s">
        <v>6803</v>
      </c>
      <c r="J210" s="3073"/>
      <c r="K210" s="3091">
        <f t="shared" si="22"/>
        <v>0</v>
      </c>
      <c r="L210" s="3072" t="s">
        <v>6799</v>
      </c>
      <c r="M210" s="3094" t="s">
        <v>6803</v>
      </c>
      <c r="N210" s="3073"/>
      <c r="O210" s="3100"/>
      <c r="P210" s="3101"/>
      <c r="Q210" s="3101"/>
      <c r="R210" s="3101"/>
      <c r="S210" s="3102" t="s">
        <v>295</v>
      </c>
      <c r="T210" s="3102" t="s">
        <v>213</v>
      </c>
      <c r="U210" s="3103"/>
      <c r="V210" s="3103" t="s">
        <v>295</v>
      </c>
      <c r="W210" s="3103" t="s">
        <v>6797</v>
      </c>
      <c r="X210" s="3103" t="s">
        <v>6798</v>
      </c>
      <c r="Y210" s="3104" t="s">
        <v>164</v>
      </c>
    </row>
    <row r="211" spans="1:25" ht="17" hidden="1">
      <c r="A211" s="1304"/>
      <c r="B211" s="643">
        <v>2001</v>
      </c>
      <c r="C211" s="643" t="s">
        <v>1385</v>
      </c>
      <c r="D211" s="3088">
        <v>2</v>
      </c>
      <c r="E211" s="3089" t="str">
        <f t="shared" si="26"/>
        <v>短期借款</v>
      </c>
      <c r="F211" s="3090" t="s">
        <v>1386</v>
      </c>
      <c r="G211" s="3091">
        <f t="shared" si="27"/>
        <v>0</v>
      </c>
      <c r="H211" s="3092">
        <f t="shared" ca="1" si="28"/>
        <v>0</v>
      </c>
      <c r="I211" s="3094" t="s">
        <v>6803</v>
      </c>
      <c r="J211" s="3073"/>
      <c r="K211" s="3091">
        <f t="shared" si="22"/>
        <v>0</v>
      </c>
      <c r="L211" s="3072">
        <f t="shared" ref="L211:L218" ca="1" si="29">INDIRECT("Notes!CheckB"&amp;$C211)</f>
        <v>0</v>
      </c>
      <c r="M211" s="3094" t="s">
        <v>6803</v>
      </c>
      <c r="N211" s="3073"/>
      <c r="O211" s="3100"/>
      <c r="P211" s="3101"/>
      <c r="Q211" s="3101"/>
      <c r="R211" s="3101"/>
      <c r="S211" s="3102" t="s">
        <v>295</v>
      </c>
      <c r="T211" s="3102" t="s">
        <v>213</v>
      </c>
      <c r="U211" s="3103"/>
      <c r="V211" s="3103" t="s">
        <v>295</v>
      </c>
      <c r="W211" s="3103" t="s">
        <v>6797</v>
      </c>
      <c r="X211" s="3103" t="s">
        <v>213</v>
      </c>
      <c r="Y211" s="3104" t="s">
        <v>164</v>
      </c>
    </row>
    <row r="212" spans="1:25" ht="17">
      <c r="A212" s="1304"/>
      <c r="B212" s="643">
        <v>2102</v>
      </c>
      <c r="C212" s="643" t="s">
        <v>1395</v>
      </c>
      <c r="D212" s="3088">
        <v>1</v>
      </c>
      <c r="E212" s="3089" t="str">
        <f t="shared" si="26"/>
        <v>交易性金融负债</v>
      </c>
      <c r="F212" s="3090" t="s">
        <v>1396</v>
      </c>
      <c r="G212" s="3091">
        <f t="shared" si="27"/>
        <v>0</v>
      </c>
      <c r="H212" s="3092">
        <f t="shared" ca="1" si="28"/>
        <v>0</v>
      </c>
      <c r="I212" s="3094">
        <f ca="1">IF(AND(LEN(G212)&gt;0,LEN(H212)&gt;0),ROUND(SUM(G212)-SUM(H212),2),"")</f>
        <v>0</v>
      </c>
      <c r="J212" s="3073" t="str">
        <f ca="1">IF(ISNA(I212),"N/A",IF(I212=0,"√","？"))</f>
        <v>√</v>
      </c>
      <c r="K212" s="3091">
        <f t="shared" si="22"/>
        <v>0</v>
      </c>
      <c r="L212" s="3072">
        <f t="shared" ca="1" si="29"/>
        <v>0</v>
      </c>
      <c r="M212" s="3094">
        <f ca="1">IF(AND(LEN(K212)&gt;0,LEN(L212)&gt;0),ROUND(SUM(K212)-SUM(L212),2),"")</f>
        <v>0</v>
      </c>
      <c r="N212" s="3073" t="str">
        <f ca="1">IF(ISNA(M212),"N/A",IF(M212=0,"√","？"))</f>
        <v>√</v>
      </c>
      <c r="O212" s="3100"/>
      <c r="P212" s="3101"/>
      <c r="Q212" s="3101"/>
      <c r="R212" s="3101"/>
      <c r="S212" s="3102" t="s">
        <v>295</v>
      </c>
      <c r="T212" s="3102" t="s">
        <v>213</v>
      </c>
      <c r="U212" s="3103"/>
      <c r="V212" s="3103" t="s">
        <v>295</v>
      </c>
      <c r="W212" s="3103" t="s">
        <v>145</v>
      </c>
      <c r="X212" s="3103" t="s">
        <v>6800</v>
      </c>
      <c r="Y212" s="3104" t="s">
        <v>119</v>
      </c>
    </row>
    <row r="213" spans="1:25" ht="52" hidden="1">
      <c r="A213" s="1304"/>
      <c r="B213" s="643">
        <v>2102</v>
      </c>
      <c r="C213" s="643" t="s">
        <v>1400</v>
      </c>
      <c r="D213" s="3088">
        <v>2</v>
      </c>
      <c r="E213" s="3089" t="str">
        <f t="shared" si="26"/>
        <v>交易性金融负债</v>
      </c>
      <c r="F213" s="3090" t="s">
        <v>1401</v>
      </c>
      <c r="G213" s="3091">
        <f t="shared" si="27"/>
        <v>0</v>
      </c>
      <c r="H213" s="3092">
        <f t="shared" ca="1" si="28"/>
        <v>0</v>
      </c>
      <c r="I213" s="3094" t="s">
        <v>6803</v>
      </c>
      <c r="J213" s="3073"/>
      <c r="K213" s="3091">
        <f t="shared" si="22"/>
        <v>0</v>
      </c>
      <c r="L213" s="3072">
        <f t="shared" ca="1" si="29"/>
        <v>0</v>
      </c>
      <c r="M213" s="3094" t="s">
        <v>6803</v>
      </c>
      <c r="N213" s="3073"/>
      <c r="O213" s="3100"/>
      <c r="P213" s="3101"/>
      <c r="Q213" s="3101"/>
      <c r="R213" s="3101"/>
      <c r="S213" s="3102" t="s">
        <v>295</v>
      </c>
      <c r="T213" s="3102" t="s">
        <v>213</v>
      </c>
      <c r="U213" s="3103"/>
      <c r="V213" s="3103" t="s">
        <v>295</v>
      </c>
      <c r="W213" s="3103" t="s">
        <v>145</v>
      </c>
      <c r="X213" s="3103" t="s">
        <v>6800</v>
      </c>
      <c r="Y213" s="3104" t="s">
        <v>119</v>
      </c>
    </row>
    <row r="214" spans="1:25" ht="39">
      <c r="A214" s="1304"/>
      <c r="B214" s="643">
        <v>2101</v>
      </c>
      <c r="C214" s="643" t="s">
        <v>1390</v>
      </c>
      <c r="D214" s="3088">
        <v>1</v>
      </c>
      <c r="E214" s="3089" t="str">
        <f t="shared" si="26"/>
        <v>以公允价值计量且其变动计入当期损益的金融负债</v>
      </c>
      <c r="F214" s="3090" t="s">
        <v>1391</v>
      </c>
      <c r="G214" s="3091">
        <f t="shared" si="27"/>
        <v>0</v>
      </c>
      <c r="H214" s="3092">
        <f t="shared" ca="1" si="28"/>
        <v>0</v>
      </c>
      <c r="I214" s="3094">
        <f ca="1">IF(AND(LEN(G214)&gt;0,LEN(H214)&gt;0),ROUND(SUM(G214)-SUM(H214),2),"")</f>
        <v>0</v>
      </c>
      <c r="J214" s="3073" t="str">
        <f ca="1">IF(ISNA(I214),"N/A",IF(I214=0,"√","？"))</f>
        <v>√</v>
      </c>
      <c r="K214" s="3091">
        <f t="shared" si="22"/>
        <v>0</v>
      </c>
      <c r="L214" s="3072">
        <f t="shared" ca="1" si="29"/>
        <v>0</v>
      </c>
      <c r="M214" s="3094">
        <f ca="1">IF(AND(LEN(K214)&gt;0,LEN(L214)&gt;0),ROUND(SUM(K214)-SUM(L214),2),"")</f>
        <v>0</v>
      </c>
      <c r="N214" s="3073" t="str">
        <f ca="1">IF(ISNA(M214),"N/A",IF(M214=0,"√","？"))</f>
        <v>√</v>
      </c>
      <c r="O214" s="3100"/>
      <c r="P214" s="3101"/>
      <c r="Q214" s="3101"/>
      <c r="R214" s="3101"/>
      <c r="S214" s="3102" t="s">
        <v>295</v>
      </c>
      <c r="T214" s="3102" t="s">
        <v>213</v>
      </c>
      <c r="U214" s="3103"/>
      <c r="V214" s="3103" t="s">
        <v>295</v>
      </c>
      <c r="W214" s="3103" t="s">
        <v>6797</v>
      </c>
      <c r="X214" s="3103" t="s">
        <v>6798</v>
      </c>
      <c r="Y214" s="3104" t="s">
        <v>164</v>
      </c>
    </row>
    <row r="215" spans="1:25" ht="17">
      <c r="A215" s="1304"/>
      <c r="B215" s="643">
        <v>2115</v>
      </c>
      <c r="C215" s="643" t="s">
        <v>1405</v>
      </c>
      <c r="D215" s="3088">
        <v>1</v>
      </c>
      <c r="E215" s="3089" t="str">
        <f t="shared" si="26"/>
        <v>衍生金融负债</v>
      </c>
      <c r="F215" s="3090" t="s">
        <v>1406</v>
      </c>
      <c r="G215" s="3091">
        <f t="shared" si="27"/>
        <v>0</v>
      </c>
      <c r="H215" s="3092">
        <f t="shared" ca="1" si="28"/>
        <v>0</v>
      </c>
      <c r="I215" s="3094">
        <f ca="1">IF(AND(LEN(G215)&gt;0,LEN(H215)&gt;0),ROUND(SUM(G215)-SUM(H215),2),"")</f>
        <v>0</v>
      </c>
      <c r="J215" s="3073" t="str">
        <f ca="1">IF(ISNA(I215),"N/A",IF(I215=0,"√","？"))</f>
        <v>√</v>
      </c>
      <c r="K215" s="3091">
        <f t="shared" si="22"/>
        <v>0</v>
      </c>
      <c r="L215" s="3072">
        <f t="shared" ca="1" si="29"/>
        <v>0</v>
      </c>
      <c r="M215" s="3094">
        <f ca="1">IF(AND(LEN(K215)&gt;0,LEN(L215)&gt;0),ROUND(SUM(K215)-SUM(L215),2),"")</f>
        <v>0</v>
      </c>
      <c r="N215" s="3073" t="str">
        <f ca="1">IF(ISNA(M215),"N/A",IF(M215=0,"√","？"))</f>
        <v>√</v>
      </c>
      <c r="O215" s="3100"/>
      <c r="P215" s="3101"/>
      <c r="Q215" s="3101"/>
      <c r="R215" s="3101"/>
      <c r="S215" s="3102" t="s">
        <v>295</v>
      </c>
      <c r="T215" s="3102" t="s">
        <v>213</v>
      </c>
      <c r="U215" s="3103"/>
      <c r="V215" s="3103" t="s">
        <v>295</v>
      </c>
      <c r="W215" s="3103" t="s">
        <v>6797</v>
      </c>
      <c r="X215" s="3103" t="s">
        <v>6798</v>
      </c>
      <c r="Y215" s="3104" t="s">
        <v>164</v>
      </c>
    </row>
    <row r="216" spans="1:25" ht="17">
      <c r="A216" s="1304"/>
      <c r="B216" s="643">
        <v>2201</v>
      </c>
      <c r="C216" s="643" t="s">
        <v>1410</v>
      </c>
      <c r="D216" s="3088">
        <v>1</v>
      </c>
      <c r="E216" s="3089" t="str">
        <f t="shared" si="26"/>
        <v>应付票据</v>
      </c>
      <c r="F216" s="3090" t="s">
        <v>1411</v>
      </c>
      <c r="G216" s="3091">
        <f t="shared" si="27"/>
        <v>0</v>
      </c>
      <c r="H216" s="3092">
        <f t="shared" ca="1" si="28"/>
        <v>0</v>
      </c>
      <c r="I216" s="3094">
        <f ca="1">IF(AND(LEN(G216)&gt;0,LEN(H216)&gt;0),ROUND(SUM(G216)-SUM(H216),2),"")</f>
        <v>0</v>
      </c>
      <c r="J216" s="3073" t="str">
        <f ca="1">IF(ISNA(I216),"N/A",IF(I216=0,"√","？"))</f>
        <v>√</v>
      </c>
      <c r="K216" s="3091">
        <f t="shared" si="22"/>
        <v>0</v>
      </c>
      <c r="L216" s="3072">
        <f t="shared" ca="1" si="29"/>
        <v>0</v>
      </c>
      <c r="M216" s="3094">
        <f ca="1">IF(AND(LEN(K216)&gt;0,LEN(L216)&gt;0),ROUND(SUM(K216)-SUM(L216),2),"")</f>
        <v>0</v>
      </c>
      <c r="N216" s="3073" t="str">
        <f ca="1">IF(ISNA(M216),"N/A",IF(M216=0,"√","？"))</f>
        <v>√</v>
      </c>
      <c r="O216" s="3100"/>
      <c r="P216" s="3101"/>
      <c r="Q216" s="3101"/>
      <c r="R216" s="3101"/>
      <c r="S216" s="3102" t="s">
        <v>295</v>
      </c>
      <c r="T216" s="3102" t="s">
        <v>213</v>
      </c>
      <c r="U216" s="3103"/>
      <c r="V216" s="3103" t="s">
        <v>295</v>
      </c>
      <c r="W216" s="3103" t="s">
        <v>6797</v>
      </c>
      <c r="X216" s="3103" t="s">
        <v>6798</v>
      </c>
      <c r="Y216" s="3104" t="s">
        <v>164</v>
      </c>
    </row>
    <row r="217" spans="1:25" ht="17">
      <c r="A217" s="1304"/>
      <c r="B217" s="643">
        <v>2202</v>
      </c>
      <c r="C217" s="643" t="s">
        <v>1416</v>
      </c>
      <c r="D217" s="3088">
        <v>1</v>
      </c>
      <c r="E217" s="3089" t="str">
        <f t="shared" si="26"/>
        <v>应付账款</v>
      </c>
      <c r="F217" s="3090" t="s">
        <v>1417</v>
      </c>
      <c r="G217" s="3091">
        <f t="shared" si="27"/>
        <v>0</v>
      </c>
      <c r="H217" s="3092">
        <f t="shared" ca="1" si="28"/>
        <v>0</v>
      </c>
      <c r="I217" s="3094">
        <f ca="1">IF(AND(LEN(G217)&gt;0,LEN(H217)&gt;0),ROUND(SUM(G217)-SUM(H217),2),"")</f>
        <v>0</v>
      </c>
      <c r="J217" s="3073" t="str">
        <f ca="1">IF(ISNA(I217),"N/A",IF(I217=0,"√","？"))</f>
        <v>√</v>
      </c>
      <c r="K217" s="3091">
        <f t="shared" si="22"/>
        <v>0</v>
      </c>
      <c r="L217" s="3072">
        <f t="shared" ca="1" si="29"/>
        <v>0</v>
      </c>
      <c r="M217" s="3094">
        <f ca="1">IF(AND(LEN(K217)&gt;0,LEN(L217)&gt;0),ROUND(SUM(K217)-SUM(L217),2),"")</f>
        <v>0</v>
      </c>
      <c r="N217" s="3073" t="str">
        <f ca="1">IF(ISNA(M217),"N/A",IF(M217=0,"√","？"))</f>
        <v>√</v>
      </c>
      <c r="O217" s="3100"/>
      <c r="P217" s="3101"/>
      <c r="Q217" s="3101"/>
      <c r="R217" s="3101"/>
      <c r="S217" s="3102" t="s">
        <v>295</v>
      </c>
      <c r="T217" s="3102" t="s">
        <v>213</v>
      </c>
      <c r="U217" s="3103"/>
      <c r="V217" s="3103" t="s">
        <v>295</v>
      </c>
      <c r="W217" s="3103" t="s">
        <v>6797</v>
      </c>
      <c r="X217" s="3103" t="s">
        <v>6798</v>
      </c>
      <c r="Y217" s="3104" t="s">
        <v>164</v>
      </c>
    </row>
    <row r="218" spans="1:25" ht="17">
      <c r="A218" s="1304"/>
      <c r="B218" s="643">
        <v>2202</v>
      </c>
      <c r="C218" s="643" t="s">
        <v>1427</v>
      </c>
      <c r="D218" s="3088">
        <v>1</v>
      </c>
      <c r="E218" s="3089" t="str">
        <f t="shared" si="26"/>
        <v>应付账款</v>
      </c>
      <c r="F218" s="3090" t="s">
        <v>1428</v>
      </c>
      <c r="G218" s="3091">
        <f t="shared" si="27"/>
        <v>0</v>
      </c>
      <c r="H218" s="3092">
        <f t="shared" ca="1" si="28"/>
        <v>0</v>
      </c>
      <c r="I218" s="3094">
        <f ca="1">IF(AND(LEN(G218)&gt;0,LEN(H218)&gt;0),ROUND(SUM(G218)-SUM(H218),2),"")</f>
        <v>0</v>
      </c>
      <c r="J218" s="3073" t="str">
        <f ca="1">IF(ISNA(I218),"N/A",IF(I218=0,"√","？"))</f>
        <v>√</v>
      </c>
      <c r="K218" s="3091">
        <f t="shared" si="22"/>
        <v>0</v>
      </c>
      <c r="L218" s="3072">
        <f t="shared" ca="1" si="29"/>
        <v>0</v>
      </c>
      <c r="M218" s="3094">
        <f ca="1">IF(AND(LEN(K218)&gt;0,LEN(L218)&gt;0),ROUND(SUM(K218)-SUM(L218),2),"")</f>
        <v>0</v>
      </c>
      <c r="N218" s="3073" t="str">
        <f ca="1">IF(ISNA(M218),"N/A",IF(M218=0,"√","？"))</f>
        <v>√</v>
      </c>
      <c r="O218" s="3100"/>
      <c r="P218" s="3101"/>
      <c r="Q218" s="3101"/>
      <c r="R218" s="3101"/>
      <c r="S218" s="3102" t="s">
        <v>295</v>
      </c>
      <c r="T218" s="3102" t="s">
        <v>213</v>
      </c>
      <c r="U218" s="3103"/>
      <c r="V218" s="3103" t="s">
        <v>295</v>
      </c>
      <c r="W218" s="3103" t="s">
        <v>6797</v>
      </c>
      <c r="X218" s="3103" t="s">
        <v>213</v>
      </c>
      <c r="Y218" s="3104" t="s">
        <v>164</v>
      </c>
    </row>
    <row r="219" spans="1:25" ht="26" hidden="1">
      <c r="A219" s="1304"/>
      <c r="B219" s="643">
        <v>2202</v>
      </c>
      <c r="C219" s="643" t="s">
        <v>1421</v>
      </c>
      <c r="D219" s="3088">
        <v>2</v>
      </c>
      <c r="E219" s="3089" t="str">
        <f t="shared" si="26"/>
        <v>应付账款</v>
      </c>
      <c r="F219" s="3090" t="s">
        <v>1422</v>
      </c>
      <c r="G219" s="3091">
        <f t="shared" si="27"/>
        <v>0</v>
      </c>
      <c r="H219" s="3092">
        <f t="shared" ca="1" si="28"/>
        <v>0</v>
      </c>
      <c r="I219" s="3094" t="s">
        <v>6803</v>
      </c>
      <c r="J219" s="3073"/>
      <c r="K219" s="3091">
        <f t="shared" si="22"/>
        <v>0</v>
      </c>
      <c r="L219" s="3072" t="s">
        <v>6799</v>
      </c>
      <c r="M219" s="3094" t="s">
        <v>6803</v>
      </c>
      <c r="N219" s="3073"/>
      <c r="O219" s="3100"/>
      <c r="P219" s="3101"/>
      <c r="Q219" s="3101"/>
      <c r="R219" s="3101"/>
      <c r="S219" s="3102" t="s">
        <v>295</v>
      </c>
      <c r="T219" s="3102" t="s">
        <v>213</v>
      </c>
      <c r="U219" s="3103"/>
      <c r="V219" s="3103" t="s">
        <v>295</v>
      </c>
      <c r="W219" s="3103" t="s">
        <v>6797</v>
      </c>
      <c r="X219" s="3103" t="s">
        <v>6798</v>
      </c>
      <c r="Y219" s="3104" t="s">
        <v>164</v>
      </c>
    </row>
    <row r="220" spans="1:25" ht="17" hidden="1">
      <c r="A220" s="1304"/>
      <c r="B220" s="643">
        <v>2202</v>
      </c>
      <c r="C220" s="643" t="s">
        <v>1437</v>
      </c>
      <c r="D220" s="3088">
        <v>2</v>
      </c>
      <c r="E220" s="3089" t="str">
        <f t="shared" si="26"/>
        <v>应付账款</v>
      </c>
      <c r="F220" s="3090" t="s">
        <v>1438</v>
      </c>
      <c r="G220" s="3091">
        <f t="shared" si="27"/>
        <v>0</v>
      </c>
      <c r="H220" s="3092">
        <f t="shared" ca="1" si="28"/>
        <v>0</v>
      </c>
      <c r="I220" s="3094" t="s">
        <v>6803</v>
      </c>
      <c r="J220" s="3073"/>
      <c r="K220" s="3091">
        <f t="shared" si="22"/>
        <v>0</v>
      </c>
      <c r="L220" s="3072" t="s">
        <v>6799</v>
      </c>
      <c r="M220" s="3094" t="s">
        <v>6803</v>
      </c>
      <c r="N220" s="3073"/>
      <c r="O220" s="3100"/>
      <c r="P220" s="3101"/>
      <c r="Q220" s="3101"/>
      <c r="R220" s="3101"/>
      <c r="S220" s="3102" t="s">
        <v>295</v>
      </c>
      <c r="T220" s="3102" t="s">
        <v>213</v>
      </c>
      <c r="U220" s="3103"/>
      <c r="V220" s="3103" t="s">
        <v>295</v>
      </c>
      <c r="W220" s="3103" t="s">
        <v>6797</v>
      </c>
      <c r="X220" s="3103" t="s">
        <v>213</v>
      </c>
      <c r="Y220" s="3104" t="s">
        <v>164</v>
      </c>
    </row>
    <row r="221" spans="1:25" ht="26" hidden="1">
      <c r="A221" s="1304"/>
      <c r="B221" s="643">
        <v>2202</v>
      </c>
      <c r="C221" s="643" t="s">
        <v>1432</v>
      </c>
      <c r="D221" s="3088">
        <v>2</v>
      </c>
      <c r="E221" s="3089" t="str">
        <f t="shared" si="26"/>
        <v>应付账款</v>
      </c>
      <c r="F221" s="3090" t="s">
        <v>1433</v>
      </c>
      <c r="G221" s="3091">
        <f t="shared" si="27"/>
        <v>0</v>
      </c>
      <c r="H221" s="3092" t="s">
        <v>6799</v>
      </c>
      <c r="I221" s="3094" t="s">
        <v>6803</v>
      </c>
      <c r="J221" s="3073"/>
      <c r="K221" s="3091">
        <f t="shared" si="22"/>
        <v>0</v>
      </c>
      <c r="L221" s="3072" t="s">
        <v>6799</v>
      </c>
      <c r="M221" s="3094" t="s">
        <v>6803</v>
      </c>
      <c r="N221" s="3073"/>
      <c r="O221" s="3100"/>
      <c r="P221" s="3101"/>
      <c r="Q221" s="3101"/>
      <c r="R221" s="3101"/>
      <c r="S221" s="3102" t="s">
        <v>295</v>
      </c>
      <c r="T221" s="3102" t="s">
        <v>213</v>
      </c>
      <c r="U221" s="3103"/>
      <c r="V221" s="3103" t="s">
        <v>295</v>
      </c>
      <c r="W221" s="3103" t="s">
        <v>6797</v>
      </c>
      <c r="X221" s="3103" t="s">
        <v>213</v>
      </c>
      <c r="Y221" s="3104" t="s">
        <v>164</v>
      </c>
    </row>
    <row r="222" spans="1:25" ht="26" hidden="1">
      <c r="A222" s="1304"/>
      <c r="B222" s="643">
        <v>2202</v>
      </c>
      <c r="C222" s="643" t="s">
        <v>1443</v>
      </c>
      <c r="D222" s="3088">
        <v>2</v>
      </c>
      <c r="E222" s="3089" t="str">
        <f t="shared" si="26"/>
        <v>应付账款</v>
      </c>
      <c r="F222" s="3090" t="s">
        <v>1444</v>
      </c>
      <c r="G222" s="3091">
        <f t="shared" si="27"/>
        <v>0</v>
      </c>
      <c r="H222" s="3092">
        <f t="shared" ref="H222:H228" ca="1" si="30">INDIRECT("Notes!CheckA"&amp;$C222)</f>
        <v>0</v>
      </c>
      <c r="I222" s="3094" t="s">
        <v>6803</v>
      </c>
      <c r="J222" s="3073"/>
      <c r="K222" s="3091">
        <f t="shared" si="22"/>
        <v>0</v>
      </c>
      <c r="L222" s="3072" t="s">
        <v>6799</v>
      </c>
      <c r="M222" s="3094" t="s">
        <v>6803</v>
      </c>
      <c r="N222" s="3073"/>
      <c r="O222" s="3100"/>
      <c r="P222" s="3101"/>
      <c r="Q222" s="3101"/>
      <c r="R222" s="3101"/>
      <c r="S222" s="3102" t="s">
        <v>295</v>
      </c>
      <c r="T222" s="3102" t="s">
        <v>213</v>
      </c>
      <c r="U222" s="3103"/>
      <c r="V222" s="3103" t="s">
        <v>295</v>
      </c>
      <c r="W222" s="3103" t="s">
        <v>6797</v>
      </c>
      <c r="X222" s="3103" t="s">
        <v>213</v>
      </c>
      <c r="Y222" s="3104" t="s">
        <v>164</v>
      </c>
    </row>
    <row r="223" spans="1:25" ht="17" hidden="1">
      <c r="A223" s="1304"/>
      <c r="B223" s="643">
        <v>2202</v>
      </c>
      <c r="C223" s="643" t="s">
        <v>1448</v>
      </c>
      <c r="D223" s="3088">
        <v>2</v>
      </c>
      <c r="E223" s="3089" t="str">
        <f t="shared" si="26"/>
        <v>应付账款</v>
      </c>
      <c r="F223" s="3090" t="s">
        <v>1449</v>
      </c>
      <c r="G223" s="3091">
        <f t="shared" si="27"/>
        <v>0</v>
      </c>
      <c r="H223" s="3092">
        <f t="shared" ca="1" si="30"/>
        <v>0</v>
      </c>
      <c r="I223" s="3094" t="s">
        <v>6803</v>
      </c>
      <c r="J223" s="3073"/>
      <c r="K223" s="3091">
        <f t="shared" ref="K223:K286" si="31">IF(ISERROR(VLOOKUP($B223,Sheet_Trialbal,10,0)),"        ----",VLOOKUP($B223,Sheet_Trialbal,10,0))</f>
        <v>0</v>
      </c>
      <c r="L223" s="3072" t="s">
        <v>6799</v>
      </c>
      <c r="M223" s="3094" t="s">
        <v>6803</v>
      </c>
      <c r="N223" s="3073"/>
      <c r="O223" s="3100"/>
      <c r="P223" s="3101"/>
      <c r="Q223" s="3101"/>
      <c r="R223" s="3101"/>
      <c r="S223" s="3102" t="s">
        <v>295</v>
      </c>
      <c r="T223" s="3102" t="s">
        <v>213</v>
      </c>
      <c r="U223" s="3103"/>
      <c r="V223" s="3103" t="s">
        <v>295</v>
      </c>
      <c r="W223" s="3103" t="s">
        <v>6797</v>
      </c>
      <c r="X223" s="3103" t="s">
        <v>213</v>
      </c>
      <c r="Y223" s="3104" t="s">
        <v>164</v>
      </c>
    </row>
    <row r="224" spans="1:25" ht="17">
      <c r="A224" s="1304"/>
      <c r="B224" s="643">
        <v>2205</v>
      </c>
      <c r="C224" s="643" t="s">
        <v>1458</v>
      </c>
      <c r="D224" s="3088">
        <v>1</v>
      </c>
      <c r="E224" s="3089" t="str">
        <f t="shared" si="26"/>
        <v>预收款项</v>
      </c>
      <c r="F224" s="3090" t="s">
        <v>1459</v>
      </c>
      <c r="G224" s="3091">
        <f t="shared" si="27"/>
        <v>0</v>
      </c>
      <c r="H224" s="3092">
        <f t="shared" ca="1" si="30"/>
        <v>0</v>
      </c>
      <c r="I224" s="3094">
        <f ca="1">IF(AND(LEN(G224)&gt;0,LEN(H224)&gt;0),ROUND(SUM(G224)-SUM(H224),2),"")</f>
        <v>0</v>
      </c>
      <c r="J224" s="3073" t="str">
        <f ca="1">IF(ISNA(I224),"N/A",IF(I224=0,"√","？"))</f>
        <v>√</v>
      </c>
      <c r="K224" s="3091">
        <f t="shared" si="31"/>
        <v>0</v>
      </c>
      <c r="L224" s="3072">
        <f ca="1">INDIRECT("Notes!CheckB"&amp;$C224)</f>
        <v>0</v>
      </c>
      <c r="M224" s="3094">
        <f ca="1">IF(AND(LEN(K224)&gt;0,LEN(L224)&gt;0),ROUND(SUM(K224)-SUM(L224),2),"")</f>
        <v>0</v>
      </c>
      <c r="N224" s="3073" t="str">
        <f ca="1">IF(ISNA(M224),"N/A",IF(M224=0,"√","？"))</f>
        <v>√</v>
      </c>
      <c r="O224" s="3100"/>
      <c r="P224" s="3101"/>
      <c r="Q224" s="3101"/>
      <c r="R224" s="3101"/>
      <c r="S224" s="3102" t="s">
        <v>295</v>
      </c>
      <c r="T224" s="3102" t="s">
        <v>213</v>
      </c>
      <c r="U224" s="3103"/>
      <c r="V224" s="3103" t="s">
        <v>295</v>
      </c>
      <c r="W224" s="3103" t="s">
        <v>6797</v>
      </c>
      <c r="X224" s="3103" t="s">
        <v>6798</v>
      </c>
      <c r="Y224" s="3104" t="s">
        <v>164</v>
      </c>
    </row>
    <row r="225" spans="1:25" ht="17">
      <c r="A225" s="1304"/>
      <c r="B225" s="643">
        <v>2205</v>
      </c>
      <c r="C225" s="643" t="s">
        <v>1490</v>
      </c>
      <c r="D225" s="3088">
        <v>1</v>
      </c>
      <c r="E225" s="3089" t="str">
        <f t="shared" si="26"/>
        <v>预收款项</v>
      </c>
      <c r="F225" s="3090" t="s">
        <v>1491</v>
      </c>
      <c r="G225" s="3091">
        <f t="shared" si="27"/>
        <v>0</v>
      </c>
      <c r="H225" s="3092">
        <f t="shared" ca="1" si="30"/>
        <v>0</v>
      </c>
      <c r="I225" s="3094">
        <f ca="1">IF(AND(LEN(G225)&gt;0,LEN(H225)&gt;0),ROUND(SUM(G225)-SUM(H225),2),"")</f>
        <v>0</v>
      </c>
      <c r="J225" s="3073" t="str">
        <f ca="1">IF(ISNA(I225),"N/A",IF(I225=0,"√","？"))</f>
        <v>√</v>
      </c>
      <c r="K225" s="3091">
        <f t="shared" si="31"/>
        <v>0</v>
      </c>
      <c r="L225" s="3072">
        <f ca="1">INDIRECT("Notes!CheckB"&amp;$C225)</f>
        <v>0</v>
      </c>
      <c r="M225" s="3094">
        <f ca="1">IF(AND(LEN(K225)&gt;0,LEN(L225)&gt;0),ROUND(SUM(K225)-SUM(L225),2),"")</f>
        <v>0</v>
      </c>
      <c r="N225" s="3073" t="str">
        <f ca="1">IF(ISNA(M225),"N/A",IF(M225=0,"√","？"))</f>
        <v>√</v>
      </c>
      <c r="O225" s="3100"/>
      <c r="P225" s="3101"/>
      <c r="Q225" s="3101"/>
      <c r="R225" s="3101"/>
      <c r="S225" s="3102" t="s">
        <v>295</v>
      </c>
      <c r="T225" s="3102" t="s">
        <v>213</v>
      </c>
      <c r="U225" s="3103"/>
      <c r="V225" s="3103" t="s">
        <v>295</v>
      </c>
      <c r="W225" s="3103" t="s">
        <v>6797</v>
      </c>
      <c r="X225" s="3103" t="s">
        <v>213</v>
      </c>
      <c r="Y225" s="3104" t="s">
        <v>164</v>
      </c>
    </row>
    <row r="226" spans="1:25" ht="26" hidden="1">
      <c r="A226" s="1304"/>
      <c r="B226" s="643">
        <v>2205</v>
      </c>
      <c r="C226" s="643" t="s">
        <v>1463</v>
      </c>
      <c r="D226" s="3088">
        <v>2</v>
      </c>
      <c r="E226" s="3089" t="str">
        <f t="shared" si="26"/>
        <v>预收款项</v>
      </c>
      <c r="F226" s="3090" t="s">
        <v>1464</v>
      </c>
      <c r="G226" s="3091">
        <f t="shared" si="27"/>
        <v>0</v>
      </c>
      <c r="H226" s="3092">
        <f t="shared" ca="1" si="30"/>
        <v>0</v>
      </c>
      <c r="I226" s="3094" t="s">
        <v>6803</v>
      </c>
      <c r="J226" s="3073"/>
      <c r="K226" s="3091">
        <f t="shared" si="31"/>
        <v>0</v>
      </c>
      <c r="L226" s="3072" t="s">
        <v>6799</v>
      </c>
      <c r="M226" s="3094" t="s">
        <v>6803</v>
      </c>
      <c r="N226" s="3073"/>
      <c r="O226" s="3100"/>
      <c r="P226" s="3101"/>
      <c r="Q226" s="3101"/>
      <c r="R226" s="3101"/>
      <c r="S226" s="3102" t="s">
        <v>295</v>
      </c>
      <c r="T226" s="3102" t="s">
        <v>213</v>
      </c>
      <c r="U226" s="3103"/>
      <c r="V226" s="3103" t="s">
        <v>295</v>
      </c>
      <c r="W226" s="3103" t="s">
        <v>6797</v>
      </c>
      <c r="X226" s="3103" t="s">
        <v>6798</v>
      </c>
      <c r="Y226" s="3104" t="s">
        <v>164</v>
      </c>
    </row>
    <row r="227" spans="1:25" ht="26" hidden="1">
      <c r="A227" s="1304"/>
      <c r="B227" s="643">
        <v>2205</v>
      </c>
      <c r="C227" s="643" t="s">
        <v>1469</v>
      </c>
      <c r="D227" s="3088">
        <v>2</v>
      </c>
      <c r="E227" s="3089" t="str">
        <f t="shared" si="26"/>
        <v>预收款项</v>
      </c>
      <c r="F227" s="3090" t="s">
        <v>1470</v>
      </c>
      <c r="G227" s="3091">
        <f t="shared" si="27"/>
        <v>0</v>
      </c>
      <c r="H227" s="3092">
        <f t="shared" ca="1" si="30"/>
        <v>0</v>
      </c>
      <c r="I227" s="3094" t="s">
        <v>6803</v>
      </c>
      <c r="J227" s="3073"/>
      <c r="K227" s="3091">
        <f t="shared" si="31"/>
        <v>0</v>
      </c>
      <c r="L227" s="3072" t="s">
        <v>6799</v>
      </c>
      <c r="M227" s="3094" t="s">
        <v>6803</v>
      </c>
      <c r="N227" s="3073"/>
      <c r="O227" s="3100"/>
      <c r="P227" s="3101"/>
      <c r="Q227" s="3101"/>
      <c r="R227" s="3101"/>
      <c r="S227" s="3102" t="s">
        <v>295</v>
      </c>
      <c r="T227" s="3102" t="s">
        <v>213</v>
      </c>
      <c r="U227" s="3103"/>
      <c r="V227" s="3103" t="s">
        <v>295</v>
      </c>
      <c r="W227" s="3103" t="s">
        <v>6797</v>
      </c>
      <c r="X227" s="3103" t="s">
        <v>6800</v>
      </c>
      <c r="Y227" s="3104" t="s">
        <v>164</v>
      </c>
    </row>
    <row r="228" spans="1:25" ht="26" hidden="1">
      <c r="A228" s="1304"/>
      <c r="B228" s="643">
        <v>2205</v>
      </c>
      <c r="C228" s="643" t="s">
        <v>1485</v>
      </c>
      <c r="D228" s="3088">
        <v>2</v>
      </c>
      <c r="E228" s="3089" t="str">
        <f t="shared" si="26"/>
        <v>预收款项</v>
      </c>
      <c r="F228" s="3090" t="s">
        <v>1486</v>
      </c>
      <c r="G228" s="3091">
        <f t="shared" si="27"/>
        <v>0</v>
      </c>
      <c r="H228" s="3092">
        <f t="shared" ca="1" si="30"/>
        <v>0</v>
      </c>
      <c r="I228" s="3094" t="s">
        <v>6803</v>
      </c>
      <c r="J228" s="3073"/>
      <c r="K228" s="3091">
        <f t="shared" si="31"/>
        <v>0</v>
      </c>
      <c r="L228" s="3072">
        <f ca="1">INDIRECT("Notes!CheckB"&amp;$C228)</f>
        <v>0</v>
      </c>
      <c r="M228" s="3094" t="s">
        <v>6803</v>
      </c>
      <c r="N228" s="3073"/>
      <c r="O228" s="3100"/>
      <c r="P228" s="3101"/>
      <c r="Q228" s="3101"/>
      <c r="R228" s="3101"/>
      <c r="S228" s="3102" t="s">
        <v>295</v>
      </c>
      <c r="T228" s="3102" t="s">
        <v>213</v>
      </c>
      <c r="U228" s="3103"/>
      <c r="V228" s="3103" t="s">
        <v>295</v>
      </c>
      <c r="W228" s="3103" t="s">
        <v>6797</v>
      </c>
      <c r="X228" s="3103" t="s">
        <v>213</v>
      </c>
      <c r="Y228" s="3104" t="s">
        <v>164</v>
      </c>
    </row>
    <row r="229" spans="1:25" ht="26" hidden="1">
      <c r="A229" s="1304"/>
      <c r="B229" s="643">
        <v>2205</v>
      </c>
      <c r="C229" s="643" t="s">
        <v>1474</v>
      </c>
      <c r="D229" s="3088">
        <v>2</v>
      </c>
      <c r="E229" s="3089" t="str">
        <f t="shared" si="26"/>
        <v>预收款项</v>
      </c>
      <c r="F229" s="3090" t="s">
        <v>1475</v>
      </c>
      <c r="G229" s="3091">
        <f t="shared" si="27"/>
        <v>0</v>
      </c>
      <c r="H229" s="3092" t="s">
        <v>6799</v>
      </c>
      <c r="I229" s="3094" t="s">
        <v>6803</v>
      </c>
      <c r="J229" s="3073"/>
      <c r="K229" s="3091">
        <f t="shared" si="31"/>
        <v>0</v>
      </c>
      <c r="L229" s="3072" t="s">
        <v>6799</v>
      </c>
      <c r="M229" s="3094" t="s">
        <v>6803</v>
      </c>
      <c r="N229" s="3073"/>
      <c r="O229" s="3100"/>
      <c r="P229" s="3101"/>
      <c r="Q229" s="3101"/>
      <c r="R229" s="3101"/>
      <c r="S229" s="3102" t="s">
        <v>295</v>
      </c>
      <c r="T229" s="3102" t="s">
        <v>213</v>
      </c>
      <c r="U229" s="3103"/>
      <c r="V229" s="3103" t="s">
        <v>295</v>
      </c>
      <c r="W229" s="3103" t="s">
        <v>6797</v>
      </c>
      <c r="X229" s="3103" t="s">
        <v>213</v>
      </c>
      <c r="Y229" s="3104" t="s">
        <v>164</v>
      </c>
    </row>
    <row r="230" spans="1:25" ht="17" hidden="1">
      <c r="A230" s="1304"/>
      <c r="B230" s="643">
        <v>2205</v>
      </c>
      <c r="C230" s="643" t="s">
        <v>1495</v>
      </c>
      <c r="D230" s="3088">
        <v>2</v>
      </c>
      <c r="E230" s="3089" t="str">
        <f t="shared" si="26"/>
        <v>预收款项</v>
      </c>
      <c r="F230" s="3090" t="s">
        <v>1496</v>
      </c>
      <c r="G230" s="3091">
        <f t="shared" si="27"/>
        <v>0</v>
      </c>
      <c r="H230" s="3092">
        <f t="shared" ref="H230:H239" ca="1" si="32">INDIRECT("Notes!CheckA"&amp;$C230)</f>
        <v>0</v>
      </c>
      <c r="I230" s="3094" t="s">
        <v>6803</v>
      </c>
      <c r="J230" s="3073"/>
      <c r="K230" s="3091">
        <f t="shared" si="31"/>
        <v>0</v>
      </c>
      <c r="L230" s="3072" t="s">
        <v>6799</v>
      </c>
      <c r="M230" s="3094" t="s">
        <v>6803</v>
      </c>
      <c r="N230" s="3073"/>
      <c r="O230" s="3100"/>
      <c r="P230" s="3101"/>
      <c r="Q230" s="3101"/>
      <c r="R230" s="3101"/>
      <c r="S230" s="3102" t="s">
        <v>295</v>
      </c>
      <c r="T230" s="3102" t="s">
        <v>213</v>
      </c>
      <c r="U230" s="3103"/>
      <c r="V230" s="3103" t="s">
        <v>295</v>
      </c>
      <c r="W230" s="3103" t="s">
        <v>6797</v>
      </c>
      <c r="X230" s="3103" t="s">
        <v>213</v>
      </c>
      <c r="Y230" s="3104" t="s">
        <v>164</v>
      </c>
    </row>
    <row r="231" spans="1:25" ht="17">
      <c r="A231" s="1304"/>
      <c r="B231" s="643">
        <v>2211</v>
      </c>
      <c r="C231" s="643" t="s">
        <v>1500</v>
      </c>
      <c r="D231" s="3088">
        <v>1</v>
      </c>
      <c r="E231" s="3089" t="str">
        <f t="shared" si="26"/>
        <v>应付职工薪酬</v>
      </c>
      <c r="F231" s="3090" t="s">
        <v>1501</v>
      </c>
      <c r="G231" s="3091">
        <f t="shared" si="27"/>
        <v>0</v>
      </c>
      <c r="H231" s="3092">
        <f t="shared" ca="1" si="32"/>
        <v>0</v>
      </c>
      <c r="I231" s="3094">
        <f ca="1">IF(AND(LEN(G231)&gt;0,LEN(H231)&gt;0),ROUND(SUM(G231)-SUM(H231),2),"")</f>
        <v>0</v>
      </c>
      <c r="J231" s="3073" t="str">
        <f ca="1">IF(ISNA(I231),"N/A",IF(I231=0,"√","？"))</f>
        <v>√</v>
      </c>
      <c r="K231" s="3091">
        <f t="shared" si="31"/>
        <v>0</v>
      </c>
      <c r="L231" s="3072">
        <f t="shared" ref="L231:L239" ca="1" si="33">INDIRECT("Notes!CheckB"&amp;$C231)</f>
        <v>0</v>
      </c>
      <c r="M231" s="3094">
        <f ca="1">IF(AND(LEN(K231)&gt;0,LEN(L231)&gt;0),ROUND(SUM(K231)-SUM(L231),2),"")</f>
        <v>0</v>
      </c>
      <c r="N231" s="3073" t="str">
        <f ca="1">IF(ISNA(M231),"N/A",IF(M231=0,"√","？"))</f>
        <v>√</v>
      </c>
      <c r="O231" s="3100"/>
      <c r="P231" s="3101"/>
      <c r="Q231" s="3101"/>
      <c r="R231" s="3101"/>
      <c r="S231" s="3102" t="s">
        <v>295</v>
      </c>
      <c r="T231" s="3102" t="s">
        <v>213</v>
      </c>
      <c r="U231" s="3103"/>
      <c r="V231" s="3103" t="s">
        <v>295</v>
      </c>
      <c r="W231" s="3103" t="s">
        <v>6797</v>
      </c>
      <c r="X231" s="3103" t="s">
        <v>6798</v>
      </c>
      <c r="Y231" s="3104" t="s">
        <v>164</v>
      </c>
    </row>
    <row r="232" spans="1:25" ht="17" hidden="1">
      <c r="A232" s="1304"/>
      <c r="B232" s="643">
        <v>2211</v>
      </c>
      <c r="C232" s="643" t="s">
        <v>1505</v>
      </c>
      <c r="D232" s="3088">
        <v>2</v>
      </c>
      <c r="E232" s="3089" t="str">
        <f t="shared" si="26"/>
        <v>应付职工薪酬</v>
      </c>
      <c r="F232" s="3090" t="s">
        <v>1506</v>
      </c>
      <c r="G232" s="3091">
        <f t="shared" si="27"/>
        <v>0</v>
      </c>
      <c r="H232" s="3092">
        <f t="shared" ca="1" si="32"/>
        <v>0</v>
      </c>
      <c r="I232" s="3094" t="s">
        <v>6803</v>
      </c>
      <c r="J232" s="3073"/>
      <c r="K232" s="3091">
        <f t="shared" si="31"/>
        <v>0</v>
      </c>
      <c r="L232" s="3072">
        <f t="shared" ca="1" si="33"/>
        <v>0</v>
      </c>
      <c r="M232" s="3094" t="s">
        <v>6803</v>
      </c>
      <c r="N232" s="3073"/>
      <c r="O232" s="3100"/>
      <c r="P232" s="3101"/>
      <c r="Q232" s="3101"/>
      <c r="R232" s="3101"/>
      <c r="S232" s="3102" t="s">
        <v>295</v>
      </c>
      <c r="T232" s="3102" t="s">
        <v>213</v>
      </c>
      <c r="U232" s="3103"/>
      <c r="V232" s="3103" t="s">
        <v>295</v>
      </c>
      <c r="W232" s="3103" t="s">
        <v>6797</v>
      </c>
      <c r="X232" s="3103" t="s">
        <v>6798</v>
      </c>
      <c r="Y232" s="3104" t="s">
        <v>164</v>
      </c>
    </row>
    <row r="233" spans="1:25" ht="17" hidden="1">
      <c r="A233" s="1304"/>
      <c r="B233" s="643">
        <v>2211</v>
      </c>
      <c r="C233" s="643" t="s">
        <v>1510</v>
      </c>
      <c r="D233" s="3088">
        <v>2</v>
      </c>
      <c r="E233" s="3089" t="str">
        <f t="shared" si="26"/>
        <v>应付职工薪酬</v>
      </c>
      <c r="F233" s="3090" t="s">
        <v>1511</v>
      </c>
      <c r="G233" s="3091">
        <f t="shared" si="27"/>
        <v>0</v>
      </c>
      <c r="H233" s="3092">
        <f t="shared" ca="1" si="32"/>
        <v>0</v>
      </c>
      <c r="I233" s="3094" t="s">
        <v>6803</v>
      </c>
      <c r="J233" s="3073"/>
      <c r="K233" s="3091">
        <f t="shared" si="31"/>
        <v>0</v>
      </c>
      <c r="L233" s="3072">
        <f t="shared" ca="1" si="33"/>
        <v>0</v>
      </c>
      <c r="M233" s="3094" t="s">
        <v>6803</v>
      </c>
      <c r="N233" s="3073"/>
      <c r="O233" s="3100"/>
      <c r="P233" s="3101"/>
      <c r="Q233" s="3101"/>
      <c r="R233" s="3101"/>
      <c r="S233" s="3102" t="s">
        <v>295</v>
      </c>
      <c r="T233" s="3102" t="s">
        <v>213</v>
      </c>
      <c r="U233" s="3103"/>
      <c r="V233" s="3103" t="s">
        <v>295</v>
      </c>
      <c r="W233" s="3103" t="s">
        <v>6797</v>
      </c>
      <c r="X233" s="3103" t="s">
        <v>6798</v>
      </c>
      <c r="Y233" s="3104" t="s">
        <v>164</v>
      </c>
    </row>
    <row r="234" spans="1:25" ht="17" hidden="1">
      <c r="A234" s="1304"/>
      <c r="B234" s="643">
        <v>2211</v>
      </c>
      <c r="C234" s="643" t="s">
        <v>1515</v>
      </c>
      <c r="D234" s="3088">
        <v>2</v>
      </c>
      <c r="E234" s="3089" t="str">
        <f t="shared" si="26"/>
        <v>应付职工薪酬</v>
      </c>
      <c r="F234" s="3090" t="s">
        <v>1516</v>
      </c>
      <c r="G234" s="3091">
        <f t="shared" si="27"/>
        <v>0</v>
      </c>
      <c r="H234" s="3092">
        <f t="shared" ca="1" si="32"/>
        <v>0</v>
      </c>
      <c r="I234" s="3094" t="s">
        <v>6803</v>
      </c>
      <c r="J234" s="3073"/>
      <c r="K234" s="3091">
        <f t="shared" si="31"/>
        <v>0</v>
      </c>
      <c r="L234" s="3072">
        <f t="shared" ca="1" si="33"/>
        <v>0</v>
      </c>
      <c r="M234" s="3094" t="s">
        <v>6803</v>
      </c>
      <c r="N234" s="3073"/>
      <c r="O234" s="3100"/>
      <c r="P234" s="3101"/>
      <c r="Q234" s="3101"/>
      <c r="R234" s="3101"/>
      <c r="S234" s="3102" t="s">
        <v>295</v>
      </c>
      <c r="T234" s="3102" t="s">
        <v>213</v>
      </c>
      <c r="U234" s="3103"/>
      <c r="V234" s="3103" t="s">
        <v>295</v>
      </c>
      <c r="W234" s="3103" t="s">
        <v>6797</v>
      </c>
      <c r="X234" s="3103" t="s">
        <v>213</v>
      </c>
      <c r="Y234" s="3104" t="s">
        <v>164</v>
      </c>
    </row>
    <row r="235" spans="1:25" ht="17" hidden="1">
      <c r="A235" s="1304"/>
      <c r="B235" s="643">
        <v>2211</v>
      </c>
      <c r="C235" s="643" t="s">
        <v>1520</v>
      </c>
      <c r="D235" s="3088">
        <v>2</v>
      </c>
      <c r="E235" s="3089" t="str">
        <f t="shared" si="26"/>
        <v>应付职工薪酬</v>
      </c>
      <c r="F235" s="3090" t="s">
        <v>1521</v>
      </c>
      <c r="G235" s="3091">
        <f t="shared" si="27"/>
        <v>0</v>
      </c>
      <c r="H235" s="3092">
        <f t="shared" ca="1" si="32"/>
        <v>0</v>
      </c>
      <c r="I235" s="3094" t="s">
        <v>6803</v>
      </c>
      <c r="J235" s="3073"/>
      <c r="K235" s="3091">
        <f t="shared" si="31"/>
        <v>0</v>
      </c>
      <c r="L235" s="3072">
        <f t="shared" ca="1" si="33"/>
        <v>0</v>
      </c>
      <c r="M235" s="3094" t="s">
        <v>6803</v>
      </c>
      <c r="N235" s="3073"/>
      <c r="O235" s="3100"/>
      <c r="P235" s="3101"/>
      <c r="Q235" s="3101"/>
      <c r="R235" s="3101"/>
      <c r="S235" s="3102" t="s">
        <v>295</v>
      </c>
      <c r="T235" s="3102" t="s">
        <v>213</v>
      </c>
      <c r="U235" s="3103"/>
      <c r="V235" s="3103" t="s">
        <v>295</v>
      </c>
      <c r="W235" s="3103" t="s">
        <v>6797</v>
      </c>
      <c r="X235" s="3103" t="s">
        <v>213</v>
      </c>
      <c r="Y235" s="3104" t="s">
        <v>164</v>
      </c>
    </row>
    <row r="236" spans="1:25" ht="17">
      <c r="A236" s="1304"/>
      <c r="B236" s="643">
        <v>2221</v>
      </c>
      <c r="C236" s="643" t="s">
        <v>1528</v>
      </c>
      <c r="D236" s="3088">
        <v>1</v>
      </c>
      <c r="E236" s="3089" t="str">
        <f t="shared" si="26"/>
        <v>应交税费</v>
      </c>
      <c r="F236" s="3090" t="s">
        <v>1529</v>
      </c>
      <c r="G236" s="3091">
        <f t="shared" si="27"/>
        <v>0</v>
      </c>
      <c r="H236" s="3092">
        <f t="shared" ca="1" si="32"/>
        <v>0</v>
      </c>
      <c r="I236" s="3094">
        <f ca="1">IF(AND(LEN(G236)&gt;0,LEN(H236)&gt;0),ROUND(SUM(G236)-SUM(H236),2),"")</f>
        <v>0</v>
      </c>
      <c r="J236" s="3073" t="str">
        <f ca="1">IF(ISNA(I236),"N/A",IF(I236=0,"√","？"))</f>
        <v>√</v>
      </c>
      <c r="K236" s="3091">
        <f t="shared" si="31"/>
        <v>0</v>
      </c>
      <c r="L236" s="3072">
        <f t="shared" ca="1" si="33"/>
        <v>0</v>
      </c>
      <c r="M236" s="3094">
        <f ca="1">IF(AND(LEN(K236)&gt;0,LEN(L236)&gt;0),ROUND(SUM(K236)-SUM(L236),2),"")</f>
        <v>0</v>
      </c>
      <c r="N236" s="3073" t="str">
        <f ca="1">IF(ISNA(M236),"N/A",IF(M236=0,"√","？"))</f>
        <v>√</v>
      </c>
      <c r="O236" s="3100"/>
      <c r="P236" s="3101"/>
      <c r="Q236" s="3101"/>
      <c r="R236" s="3101"/>
      <c r="S236" s="3102" t="s">
        <v>295</v>
      </c>
      <c r="T236" s="3102" t="s">
        <v>213</v>
      </c>
      <c r="U236" s="3103"/>
      <c r="V236" s="3103" t="s">
        <v>295</v>
      </c>
      <c r="W236" s="3103" t="s">
        <v>6797</v>
      </c>
      <c r="X236" s="3103" t="s">
        <v>6798</v>
      </c>
      <c r="Y236" s="3104" t="s">
        <v>164</v>
      </c>
    </row>
    <row r="237" spans="1:25" ht="17" hidden="1">
      <c r="A237" s="1304"/>
      <c r="B237" s="643">
        <v>2221</v>
      </c>
      <c r="C237" s="643" t="s">
        <v>1533</v>
      </c>
      <c r="D237" s="3088">
        <v>2</v>
      </c>
      <c r="E237" s="3089" t="str">
        <f t="shared" si="26"/>
        <v>应交税费</v>
      </c>
      <c r="F237" s="3090" t="s">
        <v>1534</v>
      </c>
      <c r="G237" s="3091">
        <f t="shared" si="27"/>
        <v>0</v>
      </c>
      <c r="H237" s="3092">
        <f t="shared" ca="1" si="32"/>
        <v>0</v>
      </c>
      <c r="I237" s="3094" t="s">
        <v>6803</v>
      </c>
      <c r="J237" s="3073"/>
      <c r="K237" s="3091">
        <f t="shared" si="31"/>
        <v>0</v>
      </c>
      <c r="L237" s="3072">
        <f t="shared" ca="1" si="33"/>
        <v>0</v>
      </c>
      <c r="M237" s="3094" t="s">
        <v>6803</v>
      </c>
      <c r="N237" s="3073"/>
      <c r="O237" s="3100"/>
      <c r="P237" s="3101"/>
      <c r="Q237" s="3101"/>
      <c r="R237" s="3101"/>
      <c r="S237" s="3102" t="s">
        <v>295</v>
      </c>
      <c r="T237" s="3102" t="s">
        <v>213</v>
      </c>
      <c r="U237" s="3103"/>
      <c r="V237" s="3103" t="s">
        <v>295</v>
      </c>
      <c r="W237" s="3103" t="s">
        <v>6797</v>
      </c>
      <c r="X237" s="3103" t="s">
        <v>213</v>
      </c>
      <c r="Y237" s="3104" t="s">
        <v>164</v>
      </c>
    </row>
    <row r="238" spans="1:25" ht="26">
      <c r="A238" s="1304"/>
      <c r="B238" s="643">
        <v>2246</v>
      </c>
      <c r="C238" s="643" t="s">
        <v>1594</v>
      </c>
      <c r="D238" s="3088">
        <v>1</v>
      </c>
      <c r="E238" s="3089" t="str">
        <f t="shared" si="26"/>
        <v>其他应付款（报表项目）</v>
      </c>
      <c r="F238" s="3090" t="s">
        <v>1595</v>
      </c>
      <c r="G238" s="3091">
        <f t="shared" si="27"/>
        <v>20000</v>
      </c>
      <c r="H238" s="3092">
        <f t="shared" ca="1" si="32"/>
        <v>20000</v>
      </c>
      <c r="I238" s="3094">
        <f ca="1">IF(AND(LEN(G238)&gt;0,LEN(H238)&gt;0),ROUND(SUM(G238)-SUM(H238),2),"")</f>
        <v>0</v>
      </c>
      <c r="J238" s="3073" t="str">
        <f ca="1">IF(ISNA(I238),"N/A",IF(I238=0,"√","？"))</f>
        <v>√</v>
      </c>
      <c r="K238" s="3091">
        <f t="shared" si="31"/>
        <v>20000</v>
      </c>
      <c r="L238" s="3072">
        <f t="shared" ca="1" si="33"/>
        <v>20000</v>
      </c>
      <c r="M238" s="3094">
        <f ca="1">IF(AND(LEN(K238)&gt;0,LEN(L238)&gt;0),ROUND(SUM(K238)-SUM(L238),2),"")</f>
        <v>0</v>
      </c>
      <c r="N238" s="3073" t="str">
        <f ca="1">IF(ISNA(M238),"N/A",IF(M238=0,"√","？"))</f>
        <v>√</v>
      </c>
      <c r="O238" s="3100"/>
      <c r="P238" s="3101"/>
      <c r="Q238" s="3101"/>
      <c r="R238" s="3101"/>
      <c r="S238" s="3102" t="s">
        <v>295</v>
      </c>
      <c r="T238" s="3102" t="s">
        <v>213</v>
      </c>
      <c r="U238" s="3103"/>
      <c r="V238" s="3103" t="s">
        <v>295</v>
      </c>
      <c r="W238" s="3103" t="s">
        <v>6797</v>
      </c>
      <c r="X238" s="3103" t="s">
        <v>6798</v>
      </c>
      <c r="Y238" s="3104" t="s">
        <v>164</v>
      </c>
    </row>
    <row r="239" spans="1:25" ht="17">
      <c r="A239" s="1304"/>
      <c r="B239" s="643">
        <v>2231</v>
      </c>
      <c r="C239" s="643" t="s">
        <v>1538</v>
      </c>
      <c r="D239" s="3088">
        <v>1</v>
      </c>
      <c r="E239" s="3089" t="str">
        <f t="shared" si="26"/>
        <v>应付利息</v>
      </c>
      <c r="F239" s="3090" t="s">
        <v>1539</v>
      </c>
      <c r="G239" s="3091">
        <f t="shared" si="27"/>
        <v>0</v>
      </c>
      <c r="H239" s="3092">
        <f t="shared" ca="1" si="32"/>
        <v>0</v>
      </c>
      <c r="I239" s="3094">
        <f ca="1">IF(AND(LEN(G239)&gt;0,LEN(H239)&gt;0),ROUND(SUM(G239)-SUM(H239),2),"")</f>
        <v>0</v>
      </c>
      <c r="J239" s="3073" t="str">
        <f ca="1">IF(ISNA(I239),"N/A",IF(I239=0,"√","？"))</f>
        <v>√</v>
      </c>
      <c r="K239" s="3091">
        <f t="shared" si="31"/>
        <v>0</v>
      </c>
      <c r="L239" s="3072">
        <f t="shared" ca="1" si="33"/>
        <v>0</v>
      </c>
      <c r="M239" s="3094">
        <f ca="1">IF(AND(LEN(K239)&gt;0,LEN(L239)&gt;0),ROUND(SUM(K239)-SUM(L239),2),"")</f>
        <v>0</v>
      </c>
      <c r="N239" s="3073" t="str">
        <f ca="1">IF(ISNA(M239),"N/A",IF(M239=0,"√","？"))</f>
        <v>√</v>
      </c>
      <c r="O239" s="3100"/>
      <c r="P239" s="3101"/>
      <c r="Q239" s="3101"/>
      <c r="R239" s="3101"/>
      <c r="S239" s="3102" t="s">
        <v>295</v>
      </c>
      <c r="T239" s="3102" t="s">
        <v>213</v>
      </c>
      <c r="U239" s="3103"/>
      <c r="V239" s="3103" t="s">
        <v>295</v>
      </c>
      <c r="W239" s="3103" t="s">
        <v>6797</v>
      </c>
      <c r="X239" s="3103" t="s">
        <v>6798</v>
      </c>
      <c r="Y239" s="3104" t="s">
        <v>164</v>
      </c>
    </row>
    <row r="240" spans="1:25" ht="26" hidden="1">
      <c r="A240" s="1304"/>
      <c r="B240" s="643">
        <v>2231</v>
      </c>
      <c r="C240" s="643" t="s">
        <v>1543</v>
      </c>
      <c r="D240" s="3088">
        <v>2</v>
      </c>
      <c r="E240" s="3089" t="str">
        <f t="shared" si="26"/>
        <v>应付利息</v>
      </c>
      <c r="F240" s="3090" t="s">
        <v>1544</v>
      </c>
      <c r="G240" s="3091">
        <f t="shared" si="27"/>
        <v>0</v>
      </c>
      <c r="H240" s="3092" t="s">
        <v>6799</v>
      </c>
      <c r="I240" s="3094" t="s">
        <v>6803</v>
      </c>
      <c r="J240" s="3073"/>
      <c r="K240" s="3091">
        <f t="shared" si="31"/>
        <v>0</v>
      </c>
      <c r="L240" s="3072" t="s">
        <v>6799</v>
      </c>
      <c r="M240" s="3094" t="s">
        <v>6803</v>
      </c>
      <c r="N240" s="3073"/>
      <c r="O240" s="3100"/>
      <c r="P240" s="3101"/>
      <c r="Q240" s="3101"/>
      <c r="R240" s="3101"/>
      <c r="S240" s="3102" t="s">
        <v>295</v>
      </c>
      <c r="T240" s="3102" t="s">
        <v>213</v>
      </c>
      <c r="U240" s="3103"/>
      <c r="V240" s="3103" t="s">
        <v>295</v>
      </c>
      <c r="W240" s="3103" t="s">
        <v>6797</v>
      </c>
      <c r="X240" s="3103" t="s">
        <v>6798</v>
      </c>
      <c r="Y240" s="3104" t="s">
        <v>164</v>
      </c>
    </row>
    <row r="241" spans="1:25" ht="17">
      <c r="A241" s="1304"/>
      <c r="B241" s="643">
        <v>2232</v>
      </c>
      <c r="C241" s="643" t="s">
        <v>1549</v>
      </c>
      <c r="D241" s="3088">
        <v>1</v>
      </c>
      <c r="E241" s="3089" t="str">
        <f t="shared" si="26"/>
        <v>应付股利</v>
      </c>
      <c r="F241" s="3090" t="s">
        <v>1550</v>
      </c>
      <c r="G241" s="3091">
        <f t="shared" si="27"/>
        <v>0</v>
      </c>
      <c r="H241" s="3092">
        <f t="shared" ref="H241:H247" ca="1" si="34">INDIRECT("Notes!CheckA"&amp;$C241)</f>
        <v>0</v>
      </c>
      <c r="I241" s="3094">
        <f ca="1">IF(AND(LEN(G241)&gt;0,LEN(H241)&gt;0),ROUND(SUM(G241)-SUM(H241),2),"")</f>
        <v>0</v>
      </c>
      <c r="J241" s="3073" t="str">
        <f ca="1">IF(ISNA(I241),"N/A",IF(I241=0,"√","？"))</f>
        <v>√</v>
      </c>
      <c r="K241" s="3091">
        <f t="shared" si="31"/>
        <v>0</v>
      </c>
      <c r="L241" s="3072">
        <f ca="1">INDIRECT("Notes!CheckB"&amp;$C241)</f>
        <v>0</v>
      </c>
      <c r="M241" s="3094">
        <f ca="1">IF(AND(LEN(K241)&gt;0,LEN(L241)&gt;0),ROUND(SUM(K241)-SUM(L241),2),"")</f>
        <v>0</v>
      </c>
      <c r="N241" s="3073" t="str">
        <f ca="1">IF(ISNA(M241),"N/A",IF(M241=0,"√","？"))</f>
        <v>√</v>
      </c>
      <c r="O241" s="3100"/>
      <c r="P241" s="3101"/>
      <c r="Q241" s="3101"/>
      <c r="R241" s="3101"/>
      <c r="S241" s="3102" t="s">
        <v>295</v>
      </c>
      <c r="T241" s="3102" t="s">
        <v>213</v>
      </c>
      <c r="U241" s="3103"/>
      <c r="V241" s="3103" t="s">
        <v>295</v>
      </c>
      <c r="W241" s="3103" t="s">
        <v>6797</v>
      </c>
      <c r="X241" s="3103" t="s">
        <v>6798</v>
      </c>
      <c r="Y241" s="3104" t="s">
        <v>164</v>
      </c>
    </row>
    <row r="242" spans="1:25" ht="26" hidden="1">
      <c r="A242" s="1304"/>
      <c r="B242" s="643">
        <v>2232</v>
      </c>
      <c r="C242" s="643" t="s">
        <v>1554</v>
      </c>
      <c r="D242" s="3088">
        <v>2</v>
      </c>
      <c r="E242" s="3089" t="str">
        <f t="shared" si="26"/>
        <v>应付股利</v>
      </c>
      <c r="F242" s="3090" t="s">
        <v>1555</v>
      </c>
      <c r="G242" s="3091">
        <f t="shared" si="27"/>
        <v>0</v>
      </c>
      <c r="H242" s="3092">
        <f t="shared" ca="1" si="34"/>
        <v>0</v>
      </c>
      <c r="I242" s="3094" t="s">
        <v>6803</v>
      </c>
      <c r="J242" s="3073"/>
      <c r="K242" s="3091">
        <f t="shared" si="31"/>
        <v>0</v>
      </c>
      <c r="L242" s="3072" t="s">
        <v>6799</v>
      </c>
      <c r="M242" s="3094" t="s">
        <v>6803</v>
      </c>
      <c r="N242" s="3073"/>
      <c r="O242" s="3100"/>
      <c r="P242" s="3101"/>
      <c r="Q242" s="3101"/>
      <c r="R242" s="3101"/>
      <c r="S242" s="3102" t="s">
        <v>295</v>
      </c>
      <c r="T242" s="3102" t="s">
        <v>213</v>
      </c>
      <c r="U242" s="3103"/>
      <c r="V242" s="3103" t="s">
        <v>295</v>
      </c>
      <c r="W242" s="3103" t="s">
        <v>6797</v>
      </c>
      <c r="X242" s="3103" t="s">
        <v>6798</v>
      </c>
      <c r="Y242" s="3104" t="s">
        <v>164</v>
      </c>
    </row>
    <row r="243" spans="1:25" ht="26">
      <c r="A243" s="1304"/>
      <c r="B243" s="643">
        <v>2241</v>
      </c>
      <c r="C243" s="643" t="s">
        <v>1559</v>
      </c>
      <c r="D243" s="3088">
        <v>1</v>
      </c>
      <c r="E243" s="3089" t="str">
        <f t="shared" si="26"/>
        <v>其他应付款</v>
      </c>
      <c r="F243" s="3090" t="s">
        <v>1560</v>
      </c>
      <c r="G243" s="3091">
        <f t="shared" si="27"/>
        <v>20000</v>
      </c>
      <c r="H243" s="3092">
        <f t="shared" ca="1" si="34"/>
        <v>20000</v>
      </c>
      <c r="I243" s="3094">
        <f ca="1">IF(AND(LEN(G243)&gt;0,LEN(H243)&gt;0),ROUND(SUM(G243)-SUM(H243),2),"")</f>
        <v>0</v>
      </c>
      <c r="J243" s="3073" t="str">
        <f ca="1">IF(ISNA(I243),"N/A",IF(I243=0,"√","？"))</f>
        <v>√</v>
      </c>
      <c r="K243" s="3091">
        <f t="shared" si="31"/>
        <v>20000</v>
      </c>
      <c r="L243" s="3072">
        <f ca="1">INDIRECT("Notes!CheckB"&amp;$C243)</f>
        <v>20000</v>
      </c>
      <c r="M243" s="3094">
        <f ca="1">IF(AND(LEN(K243)&gt;0,LEN(L243)&gt;0),ROUND(SUM(K243)-SUM(L243),2),"")</f>
        <v>0</v>
      </c>
      <c r="N243" s="3073" t="str">
        <f ca="1">IF(ISNA(M243),"N/A",IF(M243=0,"√","？"))</f>
        <v>√</v>
      </c>
      <c r="O243" s="3100"/>
      <c r="P243" s="3101"/>
      <c r="Q243" s="3101"/>
      <c r="R243" s="3101"/>
      <c r="S243" s="3102" t="s">
        <v>295</v>
      </c>
      <c r="T243" s="3102" t="s">
        <v>213</v>
      </c>
      <c r="U243" s="3103"/>
      <c r="V243" s="3103" t="s">
        <v>295</v>
      </c>
      <c r="W243" s="3103" t="s">
        <v>6797</v>
      </c>
      <c r="X243" s="3103" t="s">
        <v>6798</v>
      </c>
      <c r="Y243" s="3104" t="s">
        <v>164</v>
      </c>
    </row>
    <row r="244" spans="1:25" ht="17">
      <c r="A244" s="1304"/>
      <c r="B244" s="643">
        <v>2241</v>
      </c>
      <c r="C244" s="643" t="s">
        <v>1569</v>
      </c>
      <c r="D244" s="3088">
        <v>1</v>
      </c>
      <c r="E244" s="3089" t="str">
        <f t="shared" si="26"/>
        <v>其他应付款</v>
      </c>
      <c r="F244" s="3090" t="s">
        <v>1570</v>
      </c>
      <c r="G244" s="3091">
        <f t="shared" si="27"/>
        <v>20000</v>
      </c>
      <c r="H244" s="3092">
        <f t="shared" ca="1" si="34"/>
        <v>20000</v>
      </c>
      <c r="I244" s="3094">
        <f ca="1">IF(AND(LEN(G244)&gt;0,LEN(H244)&gt;0),ROUND(SUM(G244)-SUM(H244),2),"")</f>
        <v>0</v>
      </c>
      <c r="J244" s="3073" t="str">
        <f ca="1">IF(ISNA(I244),"N/A",IF(I244=0,"√","？"))</f>
        <v>√</v>
      </c>
      <c r="K244" s="3091">
        <f t="shared" si="31"/>
        <v>20000</v>
      </c>
      <c r="L244" s="3072">
        <f ca="1">INDIRECT("Notes!CheckB"&amp;$C244)</f>
        <v>20000</v>
      </c>
      <c r="M244" s="3094">
        <f ca="1">IF(AND(LEN(K244)&gt;0,LEN(L244)&gt;0),ROUND(SUM(K244)-SUM(L244),2),"")</f>
        <v>0</v>
      </c>
      <c r="N244" s="3073" t="str">
        <f ca="1">IF(ISNA(M244),"N/A",IF(M244=0,"√","？"))</f>
        <v>√</v>
      </c>
      <c r="O244" s="3100"/>
      <c r="P244" s="3101"/>
      <c r="Q244" s="3101"/>
      <c r="R244" s="3101"/>
      <c r="S244" s="3102" t="s">
        <v>295</v>
      </c>
      <c r="T244" s="3102" t="s">
        <v>213</v>
      </c>
      <c r="U244" s="3103"/>
      <c r="V244" s="3103" t="s">
        <v>295</v>
      </c>
      <c r="W244" s="3103" t="s">
        <v>6797</v>
      </c>
      <c r="X244" s="3103" t="s">
        <v>213</v>
      </c>
      <c r="Y244" s="3104" t="s">
        <v>164</v>
      </c>
    </row>
    <row r="245" spans="1:25" ht="26" hidden="1">
      <c r="A245" s="1304"/>
      <c r="B245" s="643">
        <v>2241</v>
      </c>
      <c r="C245" s="643" t="s">
        <v>1564</v>
      </c>
      <c r="D245" s="3088">
        <v>2</v>
      </c>
      <c r="E245" s="3089" t="str">
        <f t="shared" si="26"/>
        <v>其他应付款</v>
      </c>
      <c r="F245" s="3090" t="s">
        <v>1565</v>
      </c>
      <c r="G245" s="3091">
        <f t="shared" si="27"/>
        <v>20000</v>
      </c>
      <c r="H245" s="3092">
        <f t="shared" ca="1" si="34"/>
        <v>0</v>
      </c>
      <c r="I245" s="3094" t="s">
        <v>6803</v>
      </c>
      <c r="J245" s="3073"/>
      <c r="K245" s="3091">
        <f t="shared" si="31"/>
        <v>20000</v>
      </c>
      <c r="L245" s="3072" t="s">
        <v>6799</v>
      </c>
      <c r="M245" s="3094" t="s">
        <v>6803</v>
      </c>
      <c r="N245" s="3073"/>
      <c r="O245" s="3100"/>
      <c r="P245" s="3101"/>
      <c r="Q245" s="3101"/>
      <c r="R245" s="3101"/>
      <c r="S245" s="3102" t="s">
        <v>295</v>
      </c>
      <c r="T245" s="3102" t="s">
        <v>213</v>
      </c>
      <c r="U245" s="3103"/>
      <c r="V245" s="3103" t="s">
        <v>295</v>
      </c>
      <c r="W245" s="3103" t="s">
        <v>6797</v>
      </c>
      <c r="X245" s="3103" t="s">
        <v>6798</v>
      </c>
      <c r="Y245" s="3104" t="s">
        <v>164</v>
      </c>
    </row>
    <row r="246" spans="1:25" ht="26" hidden="1">
      <c r="A246" s="1304"/>
      <c r="B246" s="643">
        <v>2241</v>
      </c>
      <c r="C246" s="643" t="s">
        <v>1579</v>
      </c>
      <c r="D246" s="3088">
        <v>2</v>
      </c>
      <c r="E246" s="3089" t="str">
        <f t="shared" si="26"/>
        <v>其他应付款</v>
      </c>
      <c r="F246" s="3090" t="s">
        <v>1580</v>
      </c>
      <c r="G246" s="3091">
        <f t="shared" si="27"/>
        <v>20000</v>
      </c>
      <c r="H246" s="3092">
        <f t="shared" ca="1" si="34"/>
        <v>0</v>
      </c>
      <c r="I246" s="3094" t="s">
        <v>6803</v>
      </c>
      <c r="J246" s="3073"/>
      <c r="K246" s="3091">
        <f t="shared" si="31"/>
        <v>20000</v>
      </c>
      <c r="L246" s="3072" t="s">
        <v>6799</v>
      </c>
      <c r="M246" s="3094" t="s">
        <v>6803</v>
      </c>
      <c r="N246" s="3073"/>
      <c r="O246" s="3100"/>
      <c r="P246" s="3101"/>
      <c r="Q246" s="3101"/>
      <c r="R246" s="3101"/>
      <c r="S246" s="3102" t="s">
        <v>295</v>
      </c>
      <c r="T246" s="3102" t="s">
        <v>213</v>
      </c>
      <c r="U246" s="3103"/>
      <c r="V246" s="3103" t="s">
        <v>295</v>
      </c>
      <c r="W246" s="3103" t="s">
        <v>6797</v>
      </c>
      <c r="X246" s="3103" t="s">
        <v>213</v>
      </c>
      <c r="Y246" s="3104" t="s">
        <v>164</v>
      </c>
    </row>
    <row r="247" spans="1:25" ht="17" hidden="1">
      <c r="A247" s="1304"/>
      <c r="B247" s="643">
        <v>2241</v>
      </c>
      <c r="C247" s="643" t="s">
        <v>1584</v>
      </c>
      <c r="D247" s="3088">
        <v>2</v>
      </c>
      <c r="E247" s="3089" t="str">
        <f t="shared" si="26"/>
        <v>其他应付款</v>
      </c>
      <c r="F247" s="3090" t="s">
        <v>1585</v>
      </c>
      <c r="G247" s="3091">
        <f t="shared" si="27"/>
        <v>20000</v>
      </c>
      <c r="H247" s="3092">
        <f t="shared" ca="1" si="34"/>
        <v>0</v>
      </c>
      <c r="I247" s="3094" t="s">
        <v>6803</v>
      </c>
      <c r="J247" s="3073"/>
      <c r="K247" s="3091">
        <f t="shared" si="31"/>
        <v>20000</v>
      </c>
      <c r="L247" s="3072" t="s">
        <v>6799</v>
      </c>
      <c r="M247" s="3094" t="s">
        <v>6803</v>
      </c>
      <c r="N247" s="3073"/>
      <c r="O247" s="3100"/>
      <c r="P247" s="3101"/>
      <c r="Q247" s="3101"/>
      <c r="R247" s="3101"/>
      <c r="S247" s="3102" t="s">
        <v>295</v>
      </c>
      <c r="T247" s="3102" t="s">
        <v>213</v>
      </c>
      <c r="U247" s="3103"/>
      <c r="V247" s="3103" t="s">
        <v>295</v>
      </c>
      <c r="W247" s="3103" t="s">
        <v>6797</v>
      </c>
      <c r="X247" s="3103" t="s">
        <v>213</v>
      </c>
      <c r="Y247" s="3104" t="s">
        <v>164</v>
      </c>
    </row>
    <row r="248" spans="1:25" ht="26" hidden="1">
      <c r="A248" s="1304"/>
      <c r="B248" s="643">
        <v>2241</v>
      </c>
      <c r="C248" s="643" t="s">
        <v>1574</v>
      </c>
      <c r="D248" s="3088">
        <v>2</v>
      </c>
      <c r="E248" s="3089" t="str">
        <f t="shared" si="26"/>
        <v>其他应付款</v>
      </c>
      <c r="F248" s="3090" t="s">
        <v>1575</v>
      </c>
      <c r="G248" s="3091">
        <f t="shared" si="27"/>
        <v>20000</v>
      </c>
      <c r="H248" s="3092" t="s">
        <v>6799</v>
      </c>
      <c r="I248" s="3094" t="s">
        <v>6803</v>
      </c>
      <c r="J248" s="3073"/>
      <c r="K248" s="3091">
        <f t="shared" si="31"/>
        <v>20000</v>
      </c>
      <c r="L248" s="3072" t="s">
        <v>6799</v>
      </c>
      <c r="M248" s="3094" t="s">
        <v>6803</v>
      </c>
      <c r="N248" s="3073"/>
      <c r="O248" s="3100"/>
      <c r="P248" s="3101"/>
      <c r="Q248" s="3101"/>
      <c r="R248" s="3101"/>
      <c r="S248" s="3102" t="s">
        <v>295</v>
      </c>
      <c r="T248" s="3102" t="s">
        <v>213</v>
      </c>
      <c r="U248" s="3103"/>
      <c r="V248" s="3103" t="s">
        <v>295</v>
      </c>
      <c r="W248" s="3103" t="s">
        <v>6797</v>
      </c>
      <c r="X248" s="3103" t="s">
        <v>213</v>
      </c>
      <c r="Y248" s="3104" t="s">
        <v>164</v>
      </c>
    </row>
    <row r="249" spans="1:25" ht="17" hidden="1">
      <c r="A249" s="1304"/>
      <c r="B249" s="643">
        <v>2241</v>
      </c>
      <c r="C249" s="643" t="s">
        <v>1589</v>
      </c>
      <c r="D249" s="3088">
        <v>2</v>
      </c>
      <c r="E249" s="3089" t="str">
        <f t="shared" si="26"/>
        <v>其他应付款</v>
      </c>
      <c r="F249" s="3090" t="s">
        <v>1590</v>
      </c>
      <c r="G249" s="3091">
        <f t="shared" si="27"/>
        <v>20000</v>
      </c>
      <c r="H249" s="3092">
        <f t="shared" ref="H249:H272" ca="1" si="35">INDIRECT("Notes!CheckA"&amp;$C249)</f>
        <v>0</v>
      </c>
      <c r="I249" s="3094" t="s">
        <v>6803</v>
      </c>
      <c r="J249" s="3073"/>
      <c r="K249" s="3091">
        <f t="shared" si="31"/>
        <v>20000</v>
      </c>
      <c r="L249" s="3072" t="s">
        <v>6799</v>
      </c>
      <c r="M249" s="3094" t="s">
        <v>6803</v>
      </c>
      <c r="N249" s="3073"/>
      <c r="O249" s="3100"/>
      <c r="P249" s="3101"/>
      <c r="Q249" s="3101"/>
      <c r="R249" s="3101"/>
      <c r="S249" s="3102" t="s">
        <v>295</v>
      </c>
      <c r="T249" s="3102" t="s">
        <v>213</v>
      </c>
      <c r="U249" s="3103"/>
      <c r="V249" s="3103" t="s">
        <v>295</v>
      </c>
      <c r="W249" s="3103" t="s">
        <v>6797</v>
      </c>
      <c r="X249" s="3103" t="s">
        <v>213</v>
      </c>
      <c r="Y249" s="3104" t="s">
        <v>164</v>
      </c>
    </row>
    <row r="250" spans="1:25" ht="17">
      <c r="A250" s="1304"/>
      <c r="B250" s="643">
        <v>2315</v>
      </c>
      <c r="C250" s="643" t="s">
        <v>1599</v>
      </c>
      <c r="D250" s="3088">
        <v>1</v>
      </c>
      <c r="E250" s="3089" t="str">
        <f t="shared" si="26"/>
        <v>持有待售负债</v>
      </c>
      <c r="F250" s="3090" t="s">
        <v>6451</v>
      </c>
      <c r="G250" s="3091">
        <f t="shared" si="27"/>
        <v>0</v>
      </c>
      <c r="H250" s="3092">
        <f t="shared" ca="1" si="35"/>
        <v>0</v>
      </c>
      <c r="I250" s="3094">
        <f ca="1">IF(AND(LEN(G250)&gt;0,LEN(H250)&gt;0),ROUND(SUM(G250)-SUM(H250),2),"")</f>
        <v>0</v>
      </c>
      <c r="J250" s="3073" t="str">
        <f ca="1">IF(ISNA(I250),"N/A",IF(I250=0,"√","？"))</f>
        <v>√</v>
      </c>
      <c r="K250" s="3091">
        <f t="shared" si="31"/>
        <v>0</v>
      </c>
      <c r="L250" s="3072">
        <f t="shared" ref="L250:L257" ca="1" si="36">INDIRECT("Notes!CheckB"&amp;$C250)</f>
        <v>0</v>
      </c>
      <c r="M250" s="3094">
        <f ca="1">IF(AND(LEN(K250)&gt;0,LEN(L250)&gt;0),ROUND(SUM(K250)-SUM(L250),2),"")</f>
        <v>0</v>
      </c>
      <c r="N250" s="3073" t="str">
        <f ca="1">IF(ISNA(M250),"N/A",IF(M250=0,"√","？"))</f>
        <v>√</v>
      </c>
      <c r="O250" s="3100"/>
      <c r="P250" s="3101"/>
      <c r="Q250" s="3101"/>
      <c r="R250" s="3101"/>
      <c r="S250" s="3102" t="s">
        <v>295</v>
      </c>
      <c r="T250" s="3102" t="s">
        <v>213</v>
      </c>
      <c r="U250" s="3103"/>
      <c r="V250" s="3103" t="s">
        <v>295</v>
      </c>
      <c r="W250" s="3103" t="s">
        <v>6797</v>
      </c>
      <c r="X250" s="3103" t="s">
        <v>6798</v>
      </c>
      <c r="Y250" s="3104" t="s">
        <v>164</v>
      </c>
    </row>
    <row r="251" spans="1:25" ht="26">
      <c r="A251" s="1304"/>
      <c r="B251" s="643">
        <v>2395</v>
      </c>
      <c r="C251" s="643" t="s">
        <v>1603</v>
      </c>
      <c r="D251" s="3088">
        <v>1</v>
      </c>
      <c r="E251" s="3089" t="str">
        <f t="shared" si="26"/>
        <v>一年内到期的非流动负债</v>
      </c>
      <c r="F251" s="3090" t="s">
        <v>1604</v>
      </c>
      <c r="G251" s="3091">
        <f t="shared" si="27"/>
        <v>0</v>
      </c>
      <c r="H251" s="3092">
        <f t="shared" ca="1" si="35"/>
        <v>0</v>
      </c>
      <c r="I251" s="3094">
        <f ca="1">IF(AND(LEN(G251)&gt;0,LEN(H251)&gt;0),ROUND(SUM(G251)-SUM(H251),2),"")</f>
        <v>0</v>
      </c>
      <c r="J251" s="3073" t="str">
        <f ca="1">IF(ISNA(I251),"N/A",IF(I251=0,"√","？"))</f>
        <v>√</v>
      </c>
      <c r="K251" s="3091">
        <f t="shared" si="31"/>
        <v>0</v>
      </c>
      <c r="L251" s="3072">
        <f t="shared" ca="1" si="36"/>
        <v>0</v>
      </c>
      <c r="M251" s="3094">
        <f ca="1">IF(AND(LEN(K251)&gt;0,LEN(L251)&gt;0),ROUND(SUM(K251)-SUM(L251),2),"")</f>
        <v>0</v>
      </c>
      <c r="N251" s="3073" t="str">
        <f ca="1">IF(ISNA(M251),"N/A",IF(M251=0,"√","？"))</f>
        <v>√</v>
      </c>
      <c r="O251" s="3100"/>
      <c r="P251" s="3101"/>
      <c r="Q251" s="3101"/>
      <c r="R251" s="3101"/>
      <c r="S251" s="3102" t="s">
        <v>295</v>
      </c>
      <c r="T251" s="3102" t="s">
        <v>213</v>
      </c>
      <c r="U251" s="3103"/>
      <c r="V251" s="3103" t="s">
        <v>295</v>
      </c>
      <c r="W251" s="3103" t="s">
        <v>6797</v>
      </c>
      <c r="X251" s="3103" t="s">
        <v>6798</v>
      </c>
      <c r="Y251" s="3104" t="s">
        <v>164</v>
      </c>
    </row>
    <row r="252" spans="1:25" ht="26" hidden="1">
      <c r="A252" s="1304"/>
      <c r="B252" s="643">
        <v>2395</v>
      </c>
      <c r="C252" s="643" t="s">
        <v>1608</v>
      </c>
      <c r="D252" s="3088">
        <v>2</v>
      </c>
      <c r="E252" s="3089" t="str">
        <f t="shared" si="26"/>
        <v>一年内到期的非流动负债</v>
      </c>
      <c r="F252" s="3090" t="s">
        <v>6452</v>
      </c>
      <c r="G252" s="3091">
        <f t="shared" si="27"/>
        <v>0</v>
      </c>
      <c r="H252" s="3092">
        <f t="shared" ca="1" si="35"/>
        <v>0</v>
      </c>
      <c r="I252" s="3094" t="s">
        <v>6803</v>
      </c>
      <c r="J252" s="3073"/>
      <c r="K252" s="3091">
        <f t="shared" si="31"/>
        <v>0</v>
      </c>
      <c r="L252" s="3072">
        <f t="shared" ca="1" si="36"/>
        <v>0</v>
      </c>
      <c r="M252" s="3094" t="s">
        <v>6803</v>
      </c>
      <c r="N252" s="3073"/>
      <c r="O252" s="3100"/>
      <c r="P252" s="3101"/>
      <c r="Q252" s="3101"/>
      <c r="R252" s="3101"/>
      <c r="S252" s="3102" t="s">
        <v>295</v>
      </c>
      <c r="T252" s="3102" t="s">
        <v>213</v>
      </c>
      <c r="U252" s="3103"/>
      <c r="V252" s="3103" t="s">
        <v>295</v>
      </c>
      <c r="W252" s="3103" t="s">
        <v>145</v>
      </c>
      <c r="X252" s="3103" t="s">
        <v>213</v>
      </c>
      <c r="Y252" s="3104" t="s">
        <v>164</v>
      </c>
    </row>
    <row r="253" spans="1:25" ht="26" hidden="1">
      <c r="A253" s="1304"/>
      <c r="B253" s="643">
        <v>2395</v>
      </c>
      <c r="C253" s="643" t="s">
        <v>1612</v>
      </c>
      <c r="D253" s="3088">
        <v>2</v>
      </c>
      <c r="E253" s="3089" t="str">
        <f t="shared" si="26"/>
        <v>一年内到期的非流动负债</v>
      </c>
      <c r="F253" s="3090" t="s">
        <v>6453</v>
      </c>
      <c r="G253" s="3091">
        <f t="shared" si="27"/>
        <v>0</v>
      </c>
      <c r="H253" s="3092">
        <f t="shared" ca="1" si="35"/>
        <v>0</v>
      </c>
      <c r="I253" s="3094" t="s">
        <v>6803</v>
      </c>
      <c r="J253" s="3073"/>
      <c r="K253" s="3091">
        <f t="shared" si="31"/>
        <v>0</v>
      </c>
      <c r="L253" s="3072">
        <f t="shared" ca="1" si="36"/>
        <v>0</v>
      </c>
      <c r="M253" s="3094" t="s">
        <v>6803</v>
      </c>
      <c r="N253" s="3073"/>
      <c r="O253" s="3100"/>
      <c r="P253" s="3101"/>
      <c r="Q253" s="3101"/>
      <c r="R253" s="3101"/>
      <c r="S253" s="3102" t="s">
        <v>295</v>
      </c>
      <c r="T253" s="3102" t="s">
        <v>213</v>
      </c>
      <c r="U253" s="3103"/>
      <c r="V253" s="3103" t="s">
        <v>295</v>
      </c>
      <c r="W253" s="3103" t="s">
        <v>145</v>
      </c>
      <c r="X253" s="3103" t="s">
        <v>213</v>
      </c>
      <c r="Y253" s="3104" t="s">
        <v>164</v>
      </c>
    </row>
    <row r="254" spans="1:25" ht="26" hidden="1">
      <c r="A254" s="1304"/>
      <c r="B254" s="643">
        <v>2395</v>
      </c>
      <c r="C254" s="643" t="s">
        <v>1617</v>
      </c>
      <c r="D254" s="3088">
        <v>2</v>
      </c>
      <c r="E254" s="3089" t="str">
        <f t="shared" si="26"/>
        <v>一年内到期的非流动负债</v>
      </c>
      <c r="F254" s="3090" t="s">
        <v>6454</v>
      </c>
      <c r="G254" s="3091">
        <f t="shared" si="27"/>
        <v>0</v>
      </c>
      <c r="H254" s="3092">
        <f t="shared" ca="1" si="35"/>
        <v>0</v>
      </c>
      <c r="I254" s="3094" t="s">
        <v>6803</v>
      </c>
      <c r="J254" s="3073"/>
      <c r="K254" s="3091">
        <f t="shared" si="31"/>
        <v>0</v>
      </c>
      <c r="L254" s="3072">
        <f t="shared" ca="1" si="36"/>
        <v>0</v>
      </c>
      <c r="M254" s="3094" t="s">
        <v>6803</v>
      </c>
      <c r="N254" s="3073"/>
      <c r="O254" s="3100"/>
      <c r="P254" s="3101"/>
      <c r="Q254" s="3101"/>
      <c r="R254" s="3101"/>
      <c r="S254" s="3102" t="s">
        <v>295</v>
      </c>
      <c r="T254" s="3102" t="s">
        <v>213</v>
      </c>
      <c r="U254" s="3103"/>
      <c r="V254" s="3103" t="s">
        <v>295</v>
      </c>
      <c r="W254" s="3103" t="s">
        <v>145</v>
      </c>
      <c r="X254" s="3103" t="s">
        <v>213</v>
      </c>
      <c r="Y254" s="3104" t="s">
        <v>164</v>
      </c>
    </row>
    <row r="255" spans="1:25" ht="17">
      <c r="A255" s="1304"/>
      <c r="B255" s="643">
        <v>2396</v>
      </c>
      <c r="C255" s="643" t="s">
        <v>1621</v>
      </c>
      <c r="D255" s="3088">
        <v>1</v>
      </c>
      <c r="E255" s="3089" t="str">
        <f t="shared" si="26"/>
        <v>其他流动负债</v>
      </c>
      <c r="F255" s="3090" t="s">
        <v>1622</v>
      </c>
      <c r="G255" s="3091">
        <f t="shared" si="27"/>
        <v>0</v>
      </c>
      <c r="H255" s="3092">
        <f t="shared" ca="1" si="35"/>
        <v>0</v>
      </c>
      <c r="I255" s="3094">
        <f ca="1">IF(AND(LEN(G255)&gt;0,LEN(H255)&gt;0),ROUND(SUM(G255)-SUM(H255),2),"")</f>
        <v>0</v>
      </c>
      <c r="J255" s="3073" t="str">
        <f ca="1">IF(ISNA(I255),"N/A",IF(I255=0,"√","？"))</f>
        <v>√</v>
      </c>
      <c r="K255" s="3091">
        <f t="shared" si="31"/>
        <v>0</v>
      </c>
      <c r="L255" s="3072">
        <f t="shared" ca="1" si="36"/>
        <v>0</v>
      </c>
      <c r="M255" s="3094">
        <f ca="1">IF(AND(LEN(K255)&gt;0,LEN(L255)&gt;0),ROUND(SUM(K255)-SUM(L255),2),"")</f>
        <v>0</v>
      </c>
      <c r="N255" s="3073" t="str">
        <f ca="1">IF(ISNA(M255),"N/A",IF(M255=0,"√","？"))</f>
        <v>√</v>
      </c>
      <c r="O255" s="3100"/>
      <c r="P255" s="3101"/>
      <c r="Q255" s="3101"/>
      <c r="R255" s="3101"/>
      <c r="S255" s="3102" t="s">
        <v>295</v>
      </c>
      <c r="T255" s="3102" t="s">
        <v>213</v>
      </c>
      <c r="U255" s="3103"/>
      <c r="V255" s="3103" t="s">
        <v>295</v>
      </c>
      <c r="W255" s="3103" t="s">
        <v>6797</v>
      </c>
      <c r="X255" s="3103" t="s">
        <v>6798</v>
      </c>
      <c r="Y255" s="3104" t="s">
        <v>164</v>
      </c>
    </row>
    <row r="256" spans="1:25" ht="26" hidden="1">
      <c r="A256" s="1304"/>
      <c r="B256" s="643">
        <v>2396</v>
      </c>
      <c r="C256" s="643" t="s">
        <v>1626</v>
      </c>
      <c r="D256" s="3088">
        <v>2</v>
      </c>
      <c r="E256" s="3089" t="str">
        <f t="shared" si="26"/>
        <v>其他流动负债</v>
      </c>
      <c r="F256" s="3090" t="s">
        <v>6455</v>
      </c>
      <c r="G256" s="3091">
        <f t="shared" si="27"/>
        <v>0</v>
      </c>
      <c r="H256" s="3092">
        <f t="shared" ca="1" si="35"/>
        <v>0</v>
      </c>
      <c r="I256" s="3094" t="s">
        <v>6803</v>
      </c>
      <c r="J256" s="3073"/>
      <c r="K256" s="3091">
        <f t="shared" si="31"/>
        <v>0</v>
      </c>
      <c r="L256" s="3072">
        <f t="shared" ca="1" si="36"/>
        <v>0</v>
      </c>
      <c r="M256" s="3094" t="s">
        <v>6803</v>
      </c>
      <c r="N256" s="3073"/>
      <c r="O256" s="3100"/>
      <c r="P256" s="3101"/>
      <c r="Q256" s="3101"/>
      <c r="R256" s="3101"/>
      <c r="S256" s="3102" t="s">
        <v>295</v>
      </c>
      <c r="T256" s="3102" t="s">
        <v>213</v>
      </c>
      <c r="U256" s="3103"/>
      <c r="V256" s="3103" t="s">
        <v>295</v>
      </c>
      <c r="W256" s="3103" t="s">
        <v>6797</v>
      </c>
      <c r="X256" s="3103" t="s">
        <v>6798</v>
      </c>
      <c r="Y256" s="3104" t="s">
        <v>164</v>
      </c>
    </row>
    <row r="257" spans="1:25" ht="17">
      <c r="A257" s="1304"/>
      <c r="B257" s="643">
        <v>2501</v>
      </c>
      <c r="C257" s="643" t="s">
        <v>1637</v>
      </c>
      <c r="D257" s="3088">
        <v>1</v>
      </c>
      <c r="E257" s="3089" t="str">
        <f t="shared" si="26"/>
        <v>长期借款</v>
      </c>
      <c r="F257" s="3090" t="s">
        <v>1638</v>
      </c>
      <c r="G257" s="3091">
        <f t="shared" si="27"/>
        <v>0</v>
      </c>
      <c r="H257" s="3092">
        <f t="shared" ca="1" si="35"/>
        <v>0</v>
      </c>
      <c r="I257" s="3094">
        <f ca="1">IF(AND(LEN(G257)&gt;0,LEN(H257)&gt;0),ROUND(SUM(G257)-SUM(H257),2),"")</f>
        <v>0</v>
      </c>
      <c r="J257" s="3073" t="str">
        <f ca="1">IF(ISNA(I257),"N/A",IF(I257=0,"√","？"))</f>
        <v>√</v>
      </c>
      <c r="K257" s="3091">
        <f t="shared" si="31"/>
        <v>0</v>
      </c>
      <c r="L257" s="3072">
        <f t="shared" ca="1" si="36"/>
        <v>0</v>
      </c>
      <c r="M257" s="3094">
        <f ca="1">IF(AND(LEN(K257)&gt;0,LEN(L257)&gt;0),ROUND(SUM(K257)-SUM(L257),2),"")</f>
        <v>0</v>
      </c>
      <c r="N257" s="3073" t="str">
        <f ca="1">IF(ISNA(M257),"N/A",IF(M257=0,"√","？"))</f>
        <v>√</v>
      </c>
      <c r="O257" s="3100"/>
      <c r="P257" s="3101"/>
      <c r="Q257" s="3101"/>
      <c r="R257" s="3101"/>
      <c r="S257" s="3102" t="s">
        <v>295</v>
      </c>
      <c r="T257" s="3102" t="s">
        <v>213</v>
      </c>
      <c r="U257" s="3103"/>
      <c r="V257" s="3103" t="s">
        <v>295</v>
      </c>
      <c r="W257" s="3103" t="s">
        <v>6797</v>
      </c>
      <c r="X257" s="3103" t="s">
        <v>6798</v>
      </c>
      <c r="Y257" s="3104" t="s">
        <v>164</v>
      </c>
    </row>
    <row r="258" spans="1:25" ht="26" hidden="1">
      <c r="A258" s="1304"/>
      <c r="B258" s="643">
        <v>2501</v>
      </c>
      <c r="C258" s="643" t="s">
        <v>1642</v>
      </c>
      <c r="D258" s="3088">
        <v>2</v>
      </c>
      <c r="E258" s="3089" t="str">
        <f t="shared" si="26"/>
        <v>长期借款</v>
      </c>
      <c r="F258" s="3090" t="s">
        <v>1643</v>
      </c>
      <c r="G258" s="3091">
        <f t="shared" si="27"/>
        <v>0</v>
      </c>
      <c r="H258" s="3092">
        <f t="shared" ca="1" si="35"/>
        <v>0</v>
      </c>
      <c r="I258" s="3094" t="s">
        <v>6803</v>
      </c>
      <c r="J258" s="3073"/>
      <c r="K258" s="3091">
        <f t="shared" si="31"/>
        <v>0</v>
      </c>
      <c r="L258" s="3072" t="s">
        <v>6799</v>
      </c>
      <c r="M258" s="3094" t="s">
        <v>6803</v>
      </c>
      <c r="N258" s="3073"/>
      <c r="O258" s="3100"/>
      <c r="P258" s="3101"/>
      <c r="Q258" s="3101"/>
      <c r="R258" s="3101"/>
      <c r="S258" s="3102" t="s">
        <v>295</v>
      </c>
      <c r="T258" s="3102" t="s">
        <v>213</v>
      </c>
      <c r="U258" s="3103"/>
      <c r="V258" s="3103" t="s">
        <v>295</v>
      </c>
      <c r="W258" s="3103" t="s">
        <v>6797</v>
      </c>
      <c r="X258" s="3103" t="s">
        <v>213</v>
      </c>
      <c r="Y258" s="3104" t="s">
        <v>164</v>
      </c>
    </row>
    <row r="259" spans="1:25" ht="26" hidden="1">
      <c r="A259" s="1304"/>
      <c r="B259" s="643">
        <v>2501</v>
      </c>
      <c r="C259" s="643" t="s">
        <v>1647</v>
      </c>
      <c r="D259" s="3088">
        <v>2</v>
      </c>
      <c r="E259" s="3089" t="str">
        <f t="shared" si="26"/>
        <v>长期借款</v>
      </c>
      <c r="F259" s="3090" t="s">
        <v>1648</v>
      </c>
      <c r="G259" s="3091">
        <f t="shared" si="27"/>
        <v>0</v>
      </c>
      <c r="H259" s="3092">
        <f t="shared" ca="1" si="35"/>
        <v>0</v>
      </c>
      <c r="I259" s="3094" t="s">
        <v>6803</v>
      </c>
      <c r="J259" s="3073"/>
      <c r="K259" s="3091">
        <f t="shared" si="31"/>
        <v>0</v>
      </c>
      <c r="L259" s="3072" t="s">
        <v>6799</v>
      </c>
      <c r="M259" s="3094" t="s">
        <v>6803</v>
      </c>
      <c r="N259" s="3073"/>
      <c r="O259" s="3100"/>
      <c r="P259" s="3101"/>
      <c r="Q259" s="3101"/>
      <c r="R259" s="3101"/>
      <c r="S259" s="3102" t="s">
        <v>295</v>
      </c>
      <c r="T259" s="3102" t="s">
        <v>213</v>
      </c>
      <c r="U259" s="3103"/>
      <c r="V259" s="3103" t="s">
        <v>295</v>
      </c>
      <c r="W259" s="3103" t="s">
        <v>6797</v>
      </c>
      <c r="X259" s="3103" t="s">
        <v>213</v>
      </c>
      <c r="Y259" s="3104" t="s">
        <v>164</v>
      </c>
    </row>
    <row r="260" spans="1:25" ht="26" hidden="1">
      <c r="A260" s="1304"/>
      <c r="B260" s="643">
        <v>2501</v>
      </c>
      <c r="C260" s="643" t="s">
        <v>1652</v>
      </c>
      <c r="D260" s="3088">
        <v>2</v>
      </c>
      <c r="E260" s="3089" t="str">
        <f t="shared" si="26"/>
        <v>长期借款</v>
      </c>
      <c r="F260" s="3090" t="s">
        <v>1653</v>
      </c>
      <c r="G260" s="3091">
        <f t="shared" si="27"/>
        <v>0</v>
      </c>
      <c r="H260" s="3092">
        <f t="shared" ca="1" si="35"/>
        <v>0</v>
      </c>
      <c r="I260" s="3094" t="s">
        <v>6803</v>
      </c>
      <c r="J260" s="3073"/>
      <c r="K260" s="3091">
        <f t="shared" si="31"/>
        <v>0</v>
      </c>
      <c r="L260" s="3072" t="s">
        <v>6799</v>
      </c>
      <c r="M260" s="3094" t="s">
        <v>6803</v>
      </c>
      <c r="N260" s="3073"/>
      <c r="O260" s="3100"/>
      <c r="P260" s="3101"/>
      <c r="Q260" s="3101"/>
      <c r="R260" s="3101"/>
      <c r="S260" s="3102" t="s">
        <v>295</v>
      </c>
      <c r="T260" s="3102" t="s">
        <v>213</v>
      </c>
      <c r="U260" s="3103"/>
      <c r="V260" s="3103" t="s">
        <v>295</v>
      </c>
      <c r="W260" s="3103" t="s">
        <v>6797</v>
      </c>
      <c r="X260" s="3103" t="s">
        <v>213</v>
      </c>
      <c r="Y260" s="3104" t="s">
        <v>164</v>
      </c>
    </row>
    <row r="261" spans="1:25" ht="17" hidden="1">
      <c r="A261" s="1304"/>
      <c r="B261" s="643">
        <v>2501</v>
      </c>
      <c r="C261" s="643" t="s">
        <v>1657</v>
      </c>
      <c r="D261" s="3088">
        <v>2</v>
      </c>
      <c r="E261" s="3089" t="str">
        <f t="shared" si="26"/>
        <v>长期借款</v>
      </c>
      <c r="F261" s="3090" t="s">
        <v>1658</v>
      </c>
      <c r="G261" s="3091">
        <f t="shared" si="27"/>
        <v>0</v>
      </c>
      <c r="H261" s="3092">
        <f t="shared" ca="1" si="35"/>
        <v>0</v>
      </c>
      <c r="I261" s="3094" t="s">
        <v>6803</v>
      </c>
      <c r="J261" s="3073"/>
      <c r="K261" s="3091">
        <f t="shared" si="31"/>
        <v>0</v>
      </c>
      <c r="L261" s="3072">
        <f ca="1">INDIRECT("Notes!CheckB"&amp;$C261)</f>
        <v>0</v>
      </c>
      <c r="M261" s="3094" t="s">
        <v>6803</v>
      </c>
      <c r="N261" s="3073"/>
      <c r="O261" s="3100"/>
      <c r="P261" s="3101"/>
      <c r="Q261" s="3101"/>
      <c r="R261" s="3101"/>
      <c r="S261" s="3102" t="s">
        <v>295</v>
      </c>
      <c r="T261" s="3102" t="s">
        <v>213</v>
      </c>
      <c r="U261" s="3103"/>
      <c r="V261" s="3103" t="s">
        <v>295</v>
      </c>
      <c r="W261" s="3103" t="s">
        <v>6797</v>
      </c>
      <c r="X261" s="3103" t="s">
        <v>213</v>
      </c>
      <c r="Y261" s="3104" t="s">
        <v>164</v>
      </c>
    </row>
    <row r="262" spans="1:25" ht="17">
      <c r="A262" s="1304"/>
      <c r="B262" s="643">
        <v>2502</v>
      </c>
      <c r="C262" s="643" t="s">
        <v>1662</v>
      </c>
      <c r="D262" s="3088">
        <v>1</v>
      </c>
      <c r="E262" s="3089" t="str">
        <f t="shared" si="26"/>
        <v>应付债券</v>
      </c>
      <c r="F262" s="3090" t="s">
        <v>1663</v>
      </c>
      <c r="G262" s="3091">
        <f t="shared" si="27"/>
        <v>0</v>
      </c>
      <c r="H262" s="3092">
        <f t="shared" ca="1" si="35"/>
        <v>0</v>
      </c>
      <c r="I262" s="3094">
        <f ca="1">IF(AND(LEN(G262)&gt;0,LEN(H262)&gt;0),ROUND(SUM(G262)-SUM(H262),2),"")</f>
        <v>0</v>
      </c>
      <c r="J262" s="3073" t="str">
        <f ca="1">IF(ISNA(I262),"N/A",IF(I262=0,"√","？"))</f>
        <v>√</v>
      </c>
      <c r="K262" s="3091">
        <f t="shared" si="31"/>
        <v>0</v>
      </c>
      <c r="L262" s="3072">
        <f ca="1">INDIRECT("Notes!CheckB"&amp;$C262)</f>
        <v>0</v>
      </c>
      <c r="M262" s="3094">
        <f ca="1">IF(AND(LEN(K262)&gt;0,LEN(L262)&gt;0),ROUND(SUM(K262)-SUM(L262),2),"")</f>
        <v>0</v>
      </c>
      <c r="N262" s="3073" t="str">
        <f ca="1">IF(ISNA(M262),"N/A",IF(M262=0,"√","？"))</f>
        <v>√</v>
      </c>
      <c r="O262" s="3100"/>
      <c r="P262" s="3101"/>
      <c r="Q262" s="3101"/>
      <c r="R262" s="3101"/>
      <c r="S262" s="3102" t="s">
        <v>295</v>
      </c>
      <c r="T262" s="3102" t="s">
        <v>213</v>
      </c>
      <c r="U262" s="3103"/>
      <c r="V262" s="3103" t="s">
        <v>295</v>
      </c>
      <c r="W262" s="3103" t="s">
        <v>6797</v>
      </c>
      <c r="X262" s="3103" t="s">
        <v>6798</v>
      </c>
      <c r="Y262" s="3104" t="s">
        <v>164</v>
      </c>
    </row>
    <row r="263" spans="1:25" ht="52" hidden="1">
      <c r="A263" s="1304"/>
      <c r="B263" s="643">
        <v>2502</v>
      </c>
      <c r="C263" s="643" t="s">
        <v>1667</v>
      </c>
      <c r="D263" s="3088">
        <v>2</v>
      </c>
      <c r="E263" s="3089" t="str">
        <f t="shared" si="26"/>
        <v>应付债券</v>
      </c>
      <c r="F263" s="3090" t="s">
        <v>6456</v>
      </c>
      <c r="G263" s="3091">
        <f t="shared" si="27"/>
        <v>0</v>
      </c>
      <c r="H263" s="3092">
        <f t="shared" ca="1" si="35"/>
        <v>0</v>
      </c>
      <c r="I263" s="3094" t="s">
        <v>6803</v>
      </c>
      <c r="J263" s="3073"/>
      <c r="K263" s="3091">
        <f t="shared" si="31"/>
        <v>0</v>
      </c>
      <c r="L263" s="3072">
        <f ca="1">INDIRECT("Notes!CheckB"&amp;$C263)</f>
        <v>0</v>
      </c>
      <c r="M263" s="3094" t="s">
        <v>6803</v>
      </c>
      <c r="N263" s="3073"/>
      <c r="O263" s="3100"/>
      <c r="P263" s="3101"/>
      <c r="Q263" s="3101"/>
      <c r="R263" s="3101"/>
      <c r="S263" s="3102" t="s">
        <v>295</v>
      </c>
      <c r="T263" s="3102" t="s">
        <v>213</v>
      </c>
      <c r="U263" s="3103"/>
      <c r="V263" s="3103" t="s">
        <v>295</v>
      </c>
      <c r="W263" s="3103" t="s">
        <v>6797</v>
      </c>
      <c r="X263" s="3103" t="s">
        <v>6798</v>
      </c>
      <c r="Y263" s="3104" t="s">
        <v>164</v>
      </c>
    </row>
    <row r="264" spans="1:25" ht="65" hidden="1">
      <c r="A264" s="1304"/>
      <c r="B264" s="643">
        <v>2502</v>
      </c>
      <c r="C264" s="643" t="s">
        <v>1671</v>
      </c>
      <c r="D264" s="3088">
        <v>2</v>
      </c>
      <c r="E264" s="3089" t="str">
        <f t="shared" si="26"/>
        <v>应付债券</v>
      </c>
      <c r="F264" s="3090" t="s">
        <v>1672</v>
      </c>
      <c r="G264" s="3091">
        <f t="shared" si="27"/>
        <v>0</v>
      </c>
      <c r="H264" s="3092">
        <f t="shared" ca="1" si="35"/>
        <v>0</v>
      </c>
      <c r="I264" s="3094" t="s">
        <v>6803</v>
      </c>
      <c r="J264" s="3073"/>
      <c r="K264" s="3091">
        <f t="shared" si="31"/>
        <v>0</v>
      </c>
      <c r="L264" s="3072" t="s">
        <v>6799</v>
      </c>
      <c r="M264" s="3094" t="s">
        <v>6803</v>
      </c>
      <c r="N264" s="3073"/>
      <c r="O264" s="3100"/>
      <c r="P264" s="3101"/>
      <c r="Q264" s="3101"/>
      <c r="R264" s="3101"/>
      <c r="S264" s="3102" t="s">
        <v>295</v>
      </c>
      <c r="T264" s="3102" t="s">
        <v>213</v>
      </c>
      <c r="U264" s="3103"/>
      <c r="V264" s="3103" t="s">
        <v>295</v>
      </c>
      <c r="W264" s="3103" t="s">
        <v>6797</v>
      </c>
      <c r="X264" s="3103" t="s">
        <v>6800</v>
      </c>
      <c r="Y264" s="3104" t="s">
        <v>164</v>
      </c>
    </row>
    <row r="265" spans="1:25" ht="65" hidden="1">
      <c r="A265" s="1304"/>
      <c r="B265" s="643">
        <v>2502</v>
      </c>
      <c r="C265" s="643" t="s">
        <v>1677</v>
      </c>
      <c r="D265" s="3088">
        <v>2</v>
      </c>
      <c r="E265" s="3089" t="str">
        <f t="shared" ref="E265:E328" si="37">IF(ISERROR(VLOOKUP($B265,Sheet_Items,2,0)),"        ----",VLOOKUP($B265,Sheet_Items,2,0))</f>
        <v>应付债券</v>
      </c>
      <c r="F265" s="3090" t="s">
        <v>1678</v>
      </c>
      <c r="G265" s="3091">
        <f t="shared" ref="G265:G328" si="38">IF(ISERROR(VLOOKUP($B265,Sheet_Trialbal,6,0)),"        ----",VLOOKUP($B265,Sheet_Trialbal,6,0))</f>
        <v>0</v>
      </c>
      <c r="H265" s="3092">
        <f t="shared" ca="1" si="35"/>
        <v>0</v>
      </c>
      <c r="I265" s="3094" t="s">
        <v>6803</v>
      </c>
      <c r="J265" s="3073"/>
      <c r="K265" s="3091">
        <f t="shared" si="31"/>
        <v>0</v>
      </c>
      <c r="L265" s="3072">
        <f ca="1">INDIRECT("Notes!CheckB"&amp;$C265)</f>
        <v>0</v>
      </c>
      <c r="M265" s="3094" t="s">
        <v>6803</v>
      </c>
      <c r="N265" s="3073"/>
      <c r="O265" s="3100"/>
      <c r="P265" s="3101"/>
      <c r="Q265" s="3101"/>
      <c r="R265" s="3101"/>
      <c r="S265" s="3102" t="s">
        <v>295</v>
      </c>
      <c r="T265" s="3102" t="s">
        <v>213</v>
      </c>
      <c r="U265" s="3103"/>
      <c r="V265" s="3103" t="s">
        <v>295</v>
      </c>
      <c r="W265" s="3103" t="s">
        <v>6797</v>
      </c>
      <c r="X265" s="3103" t="s">
        <v>6798</v>
      </c>
      <c r="Y265" s="3104" t="s">
        <v>164</v>
      </c>
    </row>
    <row r="266" spans="1:25" ht="17" hidden="1">
      <c r="A266" s="1304"/>
      <c r="B266" s="643">
        <v>2502</v>
      </c>
      <c r="C266" s="643" t="s">
        <v>5590</v>
      </c>
      <c r="D266" s="3088">
        <v>2</v>
      </c>
      <c r="E266" s="3089" t="str">
        <f t="shared" si="37"/>
        <v>应付债券</v>
      </c>
      <c r="F266" s="3090" t="s">
        <v>5591</v>
      </c>
      <c r="G266" s="3091">
        <f t="shared" si="38"/>
        <v>0</v>
      </c>
      <c r="H266" s="3092">
        <f t="shared" ca="1" si="35"/>
        <v>0</v>
      </c>
      <c r="I266" s="3094" t="s">
        <v>6803</v>
      </c>
      <c r="J266" s="3073"/>
      <c r="K266" s="3091">
        <f t="shared" si="31"/>
        <v>0</v>
      </c>
      <c r="L266" s="3072">
        <f ca="1">INDIRECT("Notes!CheckB"&amp;$C266)</f>
        <v>0</v>
      </c>
      <c r="M266" s="3094" t="s">
        <v>6803</v>
      </c>
      <c r="N266" s="3073"/>
      <c r="O266" s="3100"/>
      <c r="P266" s="3101"/>
      <c r="Q266" s="3101"/>
      <c r="R266" s="3101"/>
      <c r="S266" s="3102" t="s">
        <v>295</v>
      </c>
      <c r="T266" s="3102" t="s">
        <v>213</v>
      </c>
      <c r="U266" s="3103"/>
      <c r="V266" s="3103" t="s">
        <v>295</v>
      </c>
      <c r="W266" s="3103" t="s">
        <v>6797</v>
      </c>
      <c r="X266" s="3103" t="s">
        <v>213</v>
      </c>
      <c r="Y266" s="3104" t="s">
        <v>164</v>
      </c>
    </row>
    <row r="267" spans="1:25" ht="26">
      <c r="A267" s="1304"/>
      <c r="B267" s="643">
        <v>2706</v>
      </c>
      <c r="C267" s="643" t="s">
        <v>1682</v>
      </c>
      <c r="D267" s="3088">
        <v>1</v>
      </c>
      <c r="E267" s="3089" t="str">
        <f t="shared" si="37"/>
        <v>长期应付款（报表项目）</v>
      </c>
      <c r="F267" s="3090" t="s">
        <v>1683</v>
      </c>
      <c r="G267" s="3091">
        <f t="shared" si="38"/>
        <v>0</v>
      </c>
      <c r="H267" s="3092">
        <f t="shared" ca="1" si="35"/>
        <v>0</v>
      </c>
      <c r="I267" s="3094">
        <f ca="1">IF(AND(LEN(G267)&gt;0,LEN(H267)&gt;0),ROUND(SUM(G267)-SUM(H267),2),"")</f>
        <v>0</v>
      </c>
      <c r="J267" s="3073" t="str">
        <f ca="1">IF(ISNA(I267),"N/A",IF(I267=0,"√","？"))</f>
        <v>√</v>
      </c>
      <c r="K267" s="3091">
        <f t="shared" si="31"/>
        <v>0</v>
      </c>
      <c r="L267" s="3072">
        <f ca="1">INDIRECT("Notes!CheckB"&amp;$C267)</f>
        <v>0</v>
      </c>
      <c r="M267" s="3094">
        <f ca="1">IF(AND(LEN(K267)&gt;0,LEN(L267)&gt;0),ROUND(SUM(K267)-SUM(L267),2),"")</f>
        <v>0</v>
      </c>
      <c r="N267" s="3073" t="str">
        <f ca="1">IF(ISNA(M267),"N/A",IF(M267=0,"√","？"))</f>
        <v>√</v>
      </c>
      <c r="O267" s="3100"/>
      <c r="P267" s="3101"/>
      <c r="Q267" s="3101"/>
      <c r="R267" s="3101"/>
      <c r="S267" s="3102" t="s">
        <v>295</v>
      </c>
      <c r="T267" s="3102" t="s">
        <v>213</v>
      </c>
      <c r="U267" s="3103"/>
      <c r="V267" s="3103" t="s">
        <v>295</v>
      </c>
      <c r="W267" s="3103" t="s">
        <v>6797</v>
      </c>
      <c r="X267" s="3103" t="s">
        <v>6798</v>
      </c>
      <c r="Y267" s="3104" t="s">
        <v>164</v>
      </c>
    </row>
    <row r="268" spans="1:25" ht="26">
      <c r="A268" s="1304"/>
      <c r="B268" s="643">
        <v>2701</v>
      </c>
      <c r="C268" s="643" t="s">
        <v>1687</v>
      </c>
      <c r="D268" s="3088">
        <v>1</v>
      </c>
      <c r="E268" s="3089" t="str">
        <f t="shared" si="37"/>
        <v>长期应付款</v>
      </c>
      <c r="F268" s="3090" t="s">
        <v>1688</v>
      </c>
      <c r="G268" s="3091">
        <f t="shared" si="38"/>
        <v>0</v>
      </c>
      <c r="H268" s="3092">
        <f t="shared" ca="1" si="35"/>
        <v>0</v>
      </c>
      <c r="I268" s="3094">
        <f ca="1">IF(AND(LEN(G268)&gt;0,LEN(H268)&gt;0),ROUND(SUM(G268)-SUM(H268),2),"")</f>
        <v>0</v>
      </c>
      <c r="J268" s="3073" t="str">
        <f ca="1">IF(ISNA(I268),"N/A",IF(I268=0,"√","？"))</f>
        <v>√</v>
      </c>
      <c r="K268" s="3091">
        <f t="shared" si="31"/>
        <v>0</v>
      </c>
      <c r="L268" s="3072">
        <f ca="1">INDIRECT("Notes!CheckB"&amp;$C268)</f>
        <v>0</v>
      </c>
      <c r="M268" s="3094">
        <f ca="1">IF(AND(LEN(K268)&gt;0,LEN(L268)&gt;0),ROUND(SUM(K268)-SUM(L268),2),"")</f>
        <v>0</v>
      </c>
      <c r="N268" s="3073" t="str">
        <f ca="1">IF(ISNA(M268),"N/A",IF(M268=0,"√","？"))</f>
        <v>√</v>
      </c>
      <c r="O268" s="3100"/>
      <c r="P268" s="3101"/>
      <c r="Q268" s="3101"/>
      <c r="R268" s="3101"/>
      <c r="S268" s="3102" t="s">
        <v>295</v>
      </c>
      <c r="T268" s="3102" t="s">
        <v>213</v>
      </c>
      <c r="U268" s="3103"/>
      <c r="V268" s="3103" t="s">
        <v>295</v>
      </c>
      <c r="W268" s="3103" t="s">
        <v>6797</v>
      </c>
      <c r="X268" s="3103" t="s">
        <v>6798</v>
      </c>
      <c r="Y268" s="3104" t="s">
        <v>164</v>
      </c>
    </row>
    <row r="269" spans="1:25" ht="17" hidden="1">
      <c r="A269" s="1304"/>
      <c r="B269" s="643">
        <v>2701</v>
      </c>
      <c r="C269" s="643" t="s">
        <v>1692</v>
      </c>
      <c r="D269" s="3088">
        <v>2</v>
      </c>
      <c r="E269" s="3089" t="str">
        <f t="shared" si="37"/>
        <v>长期应付款</v>
      </c>
      <c r="F269" s="3090" t="s">
        <v>1693</v>
      </c>
      <c r="G269" s="3091">
        <f t="shared" si="38"/>
        <v>0</v>
      </c>
      <c r="H269" s="3092">
        <f t="shared" ca="1" si="35"/>
        <v>0</v>
      </c>
      <c r="I269" s="3094" t="s">
        <v>6803</v>
      </c>
      <c r="J269" s="3073"/>
      <c r="K269" s="3091">
        <f t="shared" si="31"/>
        <v>0</v>
      </c>
      <c r="L269" s="3072" t="s">
        <v>6799</v>
      </c>
      <c r="M269" s="3094" t="s">
        <v>6803</v>
      </c>
      <c r="N269" s="3073"/>
      <c r="O269" s="3100"/>
      <c r="P269" s="3101"/>
      <c r="Q269" s="3101"/>
      <c r="R269" s="3101"/>
      <c r="S269" s="3102" t="s">
        <v>295</v>
      </c>
      <c r="T269" s="3102" t="s">
        <v>213</v>
      </c>
      <c r="U269" s="3103"/>
      <c r="V269" s="3103" t="s">
        <v>295</v>
      </c>
      <c r="W269" s="3103" t="s">
        <v>6797</v>
      </c>
      <c r="X269" s="3103" t="s">
        <v>213</v>
      </c>
      <c r="Y269" s="3104" t="s">
        <v>164</v>
      </c>
    </row>
    <row r="270" spans="1:25" ht="17">
      <c r="A270" s="1304"/>
      <c r="B270" s="643">
        <v>2711</v>
      </c>
      <c r="C270" s="643" t="s">
        <v>1697</v>
      </c>
      <c r="D270" s="3088">
        <v>1</v>
      </c>
      <c r="E270" s="3089" t="str">
        <f t="shared" si="37"/>
        <v>专项应付款</v>
      </c>
      <c r="F270" s="3090" t="s">
        <v>1698</v>
      </c>
      <c r="G270" s="3091">
        <f t="shared" si="38"/>
        <v>0</v>
      </c>
      <c r="H270" s="3092">
        <f t="shared" ca="1" si="35"/>
        <v>0</v>
      </c>
      <c r="I270" s="3094">
        <f ca="1">IF(AND(LEN(G270)&gt;0,LEN(H270)&gt;0),ROUND(SUM(G270)-SUM(H270),2),"")</f>
        <v>0</v>
      </c>
      <c r="J270" s="3073" t="str">
        <f ca="1">IF(ISNA(I270),"N/A",IF(I270=0,"√","？"))</f>
        <v>√</v>
      </c>
      <c r="K270" s="3091">
        <f t="shared" si="31"/>
        <v>0</v>
      </c>
      <c r="L270" s="3072">
        <f ca="1">INDIRECT("Notes!CheckB"&amp;$C270)</f>
        <v>0</v>
      </c>
      <c r="M270" s="3094">
        <f ca="1">IF(AND(LEN(K270)&gt;0,LEN(L270)&gt;0),ROUND(SUM(K270)-SUM(L270),2),"")</f>
        <v>0</v>
      </c>
      <c r="N270" s="3073" t="str">
        <f ca="1">IF(ISNA(M270),"N/A",IF(M270=0,"√","？"))</f>
        <v>√</v>
      </c>
      <c r="O270" s="3100"/>
      <c r="P270" s="3101"/>
      <c r="Q270" s="3101"/>
      <c r="R270" s="3101"/>
      <c r="S270" s="3102" t="s">
        <v>295</v>
      </c>
      <c r="T270" s="3102" t="s">
        <v>213</v>
      </c>
      <c r="U270" s="3103"/>
      <c r="V270" s="3103" t="s">
        <v>295</v>
      </c>
      <c r="W270" s="3103" t="s">
        <v>6797</v>
      </c>
      <c r="X270" s="3103" t="s">
        <v>6798</v>
      </c>
      <c r="Y270" s="3104" t="s">
        <v>164</v>
      </c>
    </row>
    <row r="271" spans="1:25" ht="17" hidden="1">
      <c r="A271" s="1304"/>
      <c r="B271" s="643">
        <v>2711</v>
      </c>
      <c r="C271" s="643" t="s">
        <v>1702</v>
      </c>
      <c r="D271" s="3088">
        <v>2</v>
      </c>
      <c r="E271" s="3089" t="str">
        <f t="shared" si="37"/>
        <v>专项应付款</v>
      </c>
      <c r="F271" s="3090" t="s">
        <v>1703</v>
      </c>
      <c r="G271" s="3091">
        <f t="shared" si="38"/>
        <v>0</v>
      </c>
      <c r="H271" s="3092">
        <f t="shared" ca="1" si="35"/>
        <v>0</v>
      </c>
      <c r="I271" s="3094" t="s">
        <v>6803</v>
      </c>
      <c r="J271" s="3073"/>
      <c r="K271" s="3091">
        <f t="shared" si="31"/>
        <v>0</v>
      </c>
      <c r="L271" s="3072" t="s">
        <v>6799</v>
      </c>
      <c r="M271" s="3094" t="s">
        <v>6803</v>
      </c>
      <c r="N271" s="3073"/>
      <c r="O271" s="3100"/>
      <c r="P271" s="3101"/>
      <c r="Q271" s="3101"/>
      <c r="R271" s="3101"/>
      <c r="S271" s="3102" t="s">
        <v>295</v>
      </c>
      <c r="T271" s="3102" t="s">
        <v>213</v>
      </c>
      <c r="U271" s="3103"/>
      <c r="V271" s="3103" t="s">
        <v>295</v>
      </c>
      <c r="W271" s="3103" t="s">
        <v>6797</v>
      </c>
      <c r="X271" s="3103" t="s">
        <v>213</v>
      </c>
      <c r="Y271" s="3104" t="s">
        <v>164</v>
      </c>
    </row>
    <row r="272" spans="1:25" ht="17">
      <c r="A272" s="1304"/>
      <c r="B272" s="643">
        <v>2715</v>
      </c>
      <c r="C272" s="643" t="s">
        <v>1707</v>
      </c>
      <c r="D272" s="3088">
        <v>1</v>
      </c>
      <c r="E272" s="3089" t="str">
        <f t="shared" si="37"/>
        <v>长期应付职工薪酬</v>
      </c>
      <c r="F272" s="3090" t="s">
        <v>1708</v>
      </c>
      <c r="G272" s="3091">
        <f t="shared" si="38"/>
        <v>0</v>
      </c>
      <c r="H272" s="3092">
        <f t="shared" ca="1" si="35"/>
        <v>0</v>
      </c>
      <c r="I272" s="3094">
        <f ca="1">IF(AND(LEN(G272)&gt;0,LEN(H272)&gt;0),ROUND(SUM(G272)-SUM(H272),2),"")</f>
        <v>0</v>
      </c>
      <c r="J272" s="3073" t="str">
        <f ca="1">IF(ISNA(I272),"N/A",IF(I272=0,"√","？"))</f>
        <v>√</v>
      </c>
      <c r="K272" s="3091">
        <f t="shared" si="31"/>
        <v>0</v>
      </c>
      <c r="L272" s="3072">
        <f ca="1">INDIRECT("Notes!CheckB"&amp;$C272)</f>
        <v>0</v>
      </c>
      <c r="M272" s="3094">
        <f ca="1">IF(AND(LEN(K272)&gt;0,LEN(L272)&gt;0),ROUND(SUM(K272)-SUM(L272),2),"")</f>
        <v>0</v>
      </c>
      <c r="N272" s="3073" t="str">
        <f ca="1">IF(ISNA(M272),"N/A",IF(M272=0,"√","？"))</f>
        <v>√</v>
      </c>
      <c r="O272" s="3100"/>
      <c r="P272" s="3101"/>
      <c r="Q272" s="3101"/>
      <c r="R272" s="3101"/>
      <c r="S272" s="3102" t="s">
        <v>295</v>
      </c>
      <c r="T272" s="3102" t="s">
        <v>213</v>
      </c>
      <c r="U272" s="3103"/>
      <c r="V272" s="3103" t="s">
        <v>295</v>
      </c>
      <c r="W272" s="3103" t="s">
        <v>6797</v>
      </c>
      <c r="X272" s="3103" t="s">
        <v>6798</v>
      </c>
      <c r="Y272" s="3104" t="s">
        <v>164</v>
      </c>
    </row>
    <row r="273" spans="1:25" ht="39" hidden="1">
      <c r="A273" s="1304"/>
      <c r="B273" s="643">
        <v>2715</v>
      </c>
      <c r="C273" s="643" t="s">
        <v>1712</v>
      </c>
      <c r="D273" s="3088">
        <v>2</v>
      </c>
      <c r="E273" s="3089" t="str">
        <f t="shared" si="37"/>
        <v>长期应付职工薪酬</v>
      </c>
      <c r="F273" s="3090" t="s">
        <v>1713</v>
      </c>
      <c r="G273" s="3091">
        <f t="shared" si="38"/>
        <v>0</v>
      </c>
      <c r="H273" s="3092" t="s">
        <v>6799</v>
      </c>
      <c r="I273" s="3094" t="s">
        <v>6803</v>
      </c>
      <c r="J273" s="3073"/>
      <c r="K273" s="3091">
        <f t="shared" si="31"/>
        <v>0</v>
      </c>
      <c r="L273" s="3072" t="s">
        <v>6799</v>
      </c>
      <c r="M273" s="3094" t="s">
        <v>6803</v>
      </c>
      <c r="N273" s="3073"/>
      <c r="O273" s="3100"/>
      <c r="P273" s="3101"/>
      <c r="Q273" s="3101"/>
      <c r="R273" s="3101"/>
      <c r="S273" s="3102" t="s">
        <v>295</v>
      </c>
      <c r="T273" s="3102" t="s">
        <v>213</v>
      </c>
      <c r="U273" s="3103"/>
      <c r="V273" s="3103" t="s">
        <v>295</v>
      </c>
      <c r="W273" s="3103" t="s">
        <v>6797</v>
      </c>
      <c r="X273" s="3103" t="s">
        <v>6800</v>
      </c>
      <c r="Y273" s="3104" t="s">
        <v>164</v>
      </c>
    </row>
    <row r="274" spans="1:25" ht="26" hidden="1">
      <c r="A274" s="1304"/>
      <c r="B274" s="643">
        <v>2715</v>
      </c>
      <c r="C274" s="643" t="s">
        <v>1717</v>
      </c>
      <c r="D274" s="3088">
        <v>2</v>
      </c>
      <c r="E274" s="3089" t="str">
        <f t="shared" si="37"/>
        <v>长期应付职工薪酬</v>
      </c>
      <c r="F274" s="3090" t="s">
        <v>1718</v>
      </c>
      <c r="G274" s="3091">
        <f t="shared" si="38"/>
        <v>0</v>
      </c>
      <c r="H274" s="3092" t="s">
        <v>6799</v>
      </c>
      <c r="I274" s="3094" t="s">
        <v>6803</v>
      </c>
      <c r="J274" s="3073"/>
      <c r="K274" s="3091">
        <f t="shared" si="31"/>
        <v>0</v>
      </c>
      <c r="L274" s="3072" t="s">
        <v>6799</v>
      </c>
      <c r="M274" s="3094" t="s">
        <v>6803</v>
      </c>
      <c r="N274" s="3073"/>
      <c r="O274" s="3100"/>
      <c r="P274" s="3101"/>
      <c r="Q274" s="3101"/>
      <c r="R274" s="3101"/>
      <c r="S274" s="3102" t="s">
        <v>295</v>
      </c>
      <c r="T274" s="3102" t="s">
        <v>213</v>
      </c>
      <c r="U274" s="3103"/>
      <c r="V274" s="3103" t="s">
        <v>295</v>
      </c>
      <c r="W274" s="3103" t="s">
        <v>6797</v>
      </c>
      <c r="X274" s="3103" t="s">
        <v>6800</v>
      </c>
      <c r="Y274" s="3104" t="s">
        <v>164</v>
      </c>
    </row>
    <row r="275" spans="1:25" ht="26" hidden="1">
      <c r="A275" s="1304"/>
      <c r="B275" s="643">
        <v>2715</v>
      </c>
      <c r="C275" s="643" t="s">
        <v>1722</v>
      </c>
      <c r="D275" s="3088">
        <v>2</v>
      </c>
      <c r="E275" s="3089" t="str">
        <f t="shared" si="37"/>
        <v>长期应付职工薪酬</v>
      </c>
      <c r="F275" s="3090" t="s">
        <v>6457</v>
      </c>
      <c r="G275" s="3091">
        <f t="shared" si="38"/>
        <v>0</v>
      </c>
      <c r="H275" s="3092" t="s">
        <v>6799</v>
      </c>
      <c r="I275" s="3094" t="s">
        <v>6803</v>
      </c>
      <c r="J275" s="3073"/>
      <c r="K275" s="3091">
        <f t="shared" si="31"/>
        <v>0</v>
      </c>
      <c r="L275" s="3072" t="s">
        <v>6799</v>
      </c>
      <c r="M275" s="3094" t="s">
        <v>6803</v>
      </c>
      <c r="N275" s="3073"/>
      <c r="O275" s="3100"/>
      <c r="P275" s="3101"/>
      <c r="Q275" s="3101"/>
      <c r="R275" s="3101"/>
      <c r="S275" s="3102" t="s">
        <v>295</v>
      </c>
      <c r="T275" s="3102" t="s">
        <v>213</v>
      </c>
      <c r="U275" s="3103"/>
      <c r="V275" s="3103" t="s">
        <v>295</v>
      </c>
      <c r="W275" s="3103" t="s">
        <v>6797</v>
      </c>
      <c r="X275" s="3103" t="s">
        <v>6800</v>
      </c>
      <c r="Y275" s="3104" t="s">
        <v>164</v>
      </c>
    </row>
    <row r="276" spans="1:25" ht="26" hidden="1">
      <c r="A276" s="1304"/>
      <c r="B276" s="643">
        <v>2715</v>
      </c>
      <c r="C276" s="643" t="s">
        <v>1736</v>
      </c>
      <c r="D276" s="3088">
        <v>2</v>
      </c>
      <c r="E276" s="3089" t="str">
        <f t="shared" si="37"/>
        <v>长期应付职工薪酬</v>
      </c>
      <c r="F276" s="3090" t="s">
        <v>1737</v>
      </c>
      <c r="G276" s="3091">
        <f t="shared" si="38"/>
        <v>0</v>
      </c>
      <c r="H276" s="3092" t="s">
        <v>6799</v>
      </c>
      <c r="I276" s="3094" t="s">
        <v>6803</v>
      </c>
      <c r="J276" s="3073"/>
      <c r="K276" s="3091">
        <f t="shared" si="31"/>
        <v>0</v>
      </c>
      <c r="L276" s="3072" t="s">
        <v>6799</v>
      </c>
      <c r="M276" s="3094" t="s">
        <v>6803</v>
      </c>
      <c r="N276" s="3073"/>
      <c r="O276" s="3100"/>
      <c r="P276" s="3101"/>
      <c r="Q276" s="3101"/>
      <c r="R276" s="3101"/>
      <c r="S276" s="3102" t="s">
        <v>295</v>
      </c>
      <c r="T276" s="3102" t="s">
        <v>213</v>
      </c>
      <c r="U276" s="3103"/>
      <c r="V276" s="3103" t="s">
        <v>295</v>
      </c>
      <c r="W276" s="3103" t="s">
        <v>6797</v>
      </c>
      <c r="X276" s="3103" t="s">
        <v>6800</v>
      </c>
      <c r="Y276" s="3104" t="s">
        <v>164</v>
      </c>
    </row>
    <row r="277" spans="1:25" ht="26" hidden="1">
      <c r="A277" s="1304"/>
      <c r="B277" s="643">
        <v>2715</v>
      </c>
      <c r="C277" s="643" t="s">
        <v>1741</v>
      </c>
      <c r="D277" s="3088">
        <v>2</v>
      </c>
      <c r="E277" s="3089" t="str">
        <f t="shared" si="37"/>
        <v>长期应付职工薪酬</v>
      </c>
      <c r="F277" s="3090" t="s">
        <v>1742</v>
      </c>
      <c r="G277" s="3091">
        <f t="shared" si="38"/>
        <v>0</v>
      </c>
      <c r="H277" s="3092" t="s">
        <v>6799</v>
      </c>
      <c r="I277" s="3094" t="s">
        <v>6803</v>
      </c>
      <c r="J277" s="3073"/>
      <c r="K277" s="3091">
        <f t="shared" si="31"/>
        <v>0</v>
      </c>
      <c r="L277" s="3072" t="s">
        <v>6799</v>
      </c>
      <c r="M277" s="3094" t="s">
        <v>6803</v>
      </c>
      <c r="N277" s="3073"/>
      <c r="O277" s="3100"/>
      <c r="P277" s="3101"/>
      <c r="Q277" s="3101"/>
      <c r="R277" s="3101"/>
      <c r="S277" s="3102" t="s">
        <v>295</v>
      </c>
      <c r="T277" s="3102" t="s">
        <v>213</v>
      </c>
      <c r="U277" s="3103"/>
      <c r="V277" s="3103" t="s">
        <v>295</v>
      </c>
      <c r="W277" s="3103" t="s">
        <v>6797</v>
      </c>
      <c r="X277" s="3103" t="s">
        <v>6800</v>
      </c>
      <c r="Y277" s="3104" t="s">
        <v>164</v>
      </c>
    </row>
    <row r="278" spans="1:25" ht="17">
      <c r="A278" s="1304"/>
      <c r="B278" s="643">
        <v>2801</v>
      </c>
      <c r="C278" s="643" t="s">
        <v>1746</v>
      </c>
      <c r="D278" s="3088">
        <v>1</v>
      </c>
      <c r="E278" s="3089" t="str">
        <f t="shared" si="37"/>
        <v>预计负债</v>
      </c>
      <c r="F278" s="3090" t="s">
        <v>1747</v>
      </c>
      <c r="G278" s="3091">
        <f t="shared" si="38"/>
        <v>0</v>
      </c>
      <c r="H278" s="3092">
        <f ca="1">INDIRECT("Notes!CheckA"&amp;$C278)</f>
        <v>0</v>
      </c>
      <c r="I278" s="3094">
        <f ca="1">IF(AND(LEN(G278)&gt;0,LEN(H278)&gt;0),ROUND(SUM(G278)-SUM(H278),2),"")</f>
        <v>0</v>
      </c>
      <c r="J278" s="3073" t="str">
        <f ca="1">IF(ISNA(I278),"N/A",IF(I278=0,"√","？"))</f>
        <v>√</v>
      </c>
      <c r="K278" s="3091">
        <f t="shared" si="31"/>
        <v>0</v>
      </c>
      <c r="L278" s="3072">
        <f ca="1">INDIRECT("Notes!CheckB"&amp;$C278)</f>
        <v>0</v>
      </c>
      <c r="M278" s="3094">
        <f ca="1">IF(AND(LEN(K278)&gt;0,LEN(L278)&gt;0),ROUND(SUM(K278)-SUM(L278),2),"")</f>
        <v>0</v>
      </c>
      <c r="N278" s="3073" t="str">
        <f ca="1">IF(ISNA(M278),"N/A",IF(M278=0,"√","？"))</f>
        <v>√</v>
      </c>
      <c r="O278" s="3100"/>
      <c r="P278" s="3101"/>
      <c r="Q278" s="3101"/>
      <c r="R278" s="3101"/>
      <c r="S278" s="3102" t="s">
        <v>295</v>
      </c>
      <c r="T278" s="3102" t="s">
        <v>213</v>
      </c>
      <c r="U278" s="3103"/>
      <c r="V278" s="3103" t="s">
        <v>295</v>
      </c>
      <c r="W278" s="3103" t="s">
        <v>6797</v>
      </c>
      <c r="X278" s="3103" t="s">
        <v>6798</v>
      </c>
      <c r="Y278" s="3104" t="s">
        <v>164</v>
      </c>
    </row>
    <row r="279" spans="1:25" ht="17">
      <c r="A279" s="1304"/>
      <c r="B279" s="643">
        <v>2401</v>
      </c>
      <c r="C279" s="643" t="s">
        <v>1751</v>
      </c>
      <c r="D279" s="3088">
        <v>1</v>
      </c>
      <c r="E279" s="3089" t="str">
        <f t="shared" si="37"/>
        <v>递延收益</v>
      </c>
      <c r="F279" s="3090" t="s">
        <v>1752</v>
      </c>
      <c r="G279" s="3091">
        <f t="shared" si="38"/>
        <v>0</v>
      </c>
      <c r="H279" s="3092">
        <f ca="1">INDIRECT("Notes!CheckA"&amp;$C279)</f>
        <v>0</v>
      </c>
      <c r="I279" s="3094">
        <f ca="1">IF(AND(LEN(G279)&gt;0,LEN(H279)&gt;0),ROUND(SUM(G279)-SUM(H279),2),"")</f>
        <v>0</v>
      </c>
      <c r="J279" s="3073" t="str">
        <f ca="1">IF(ISNA(I279),"N/A",IF(I279=0,"√","？"))</f>
        <v>√</v>
      </c>
      <c r="K279" s="3091">
        <f t="shared" si="31"/>
        <v>0</v>
      </c>
      <c r="L279" s="3072">
        <f ca="1">INDIRECT("Notes!CheckB"&amp;$C279)</f>
        <v>0</v>
      </c>
      <c r="M279" s="3094">
        <f ca="1">IF(AND(LEN(K279)&gt;0,LEN(L279)&gt;0),ROUND(SUM(K279)-SUM(L279),2),"")</f>
        <v>0</v>
      </c>
      <c r="N279" s="3073" t="str">
        <f ca="1">IF(ISNA(M279),"N/A",IF(M279=0,"√","？"))</f>
        <v>√</v>
      </c>
      <c r="O279" s="3100"/>
      <c r="P279" s="3101"/>
      <c r="Q279" s="3101"/>
      <c r="R279" s="3101"/>
      <c r="S279" s="3102" t="s">
        <v>295</v>
      </c>
      <c r="T279" s="3102" t="s">
        <v>213</v>
      </c>
      <c r="U279" s="3103"/>
      <c r="V279" s="3103" t="s">
        <v>295</v>
      </c>
      <c r="W279" s="3103" t="s">
        <v>6797</v>
      </c>
      <c r="X279" s="3103" t="s">
        <v>6798</v>
      </c>
      <c r="Y279" s="3104" t="s">
        <v>164</v>
      </c>
    </row>
    <row r="280" spans="1:25" ht="26" hidden="1">
      <c r="A280" s="1304"/>
      <c r="B280" s="643">
        <v>2401</v>
      </c>
      <c r="C280" s="643" t="s">
        <v>1756</v>
      </c>
      <c r="D280" s="3088">
        <v>2</v>
      </c>
      <c r="E280" s="3089" t="str">
        <f t="shared" si="37"/>
        <v>递延收益</v>
      </c>
      <c r="F280" s="3090" t="s">
        <v>1757</v>
      </c>
      <c r="G280" s="3091">
        <f t="shared" si="38"/>
        <v>0</v>
      </c>
      <c r="H280" s="3092" t="s">
        <v>6799</v>
      </c>
      <c r="I280" s="3094" t="s">
        <v>6803</v>
      </c>
      <c r="J280" s="3073"/>
      <c r="K280" s="3091">
        <f t="shared" si="31"/>
        <v>0</v>
      </c>
      <c r="L280" s="3072" t="s">
        <v>6799</v>
      </c>
      <c r="M280" s="3094" t="s">
        <v>6803</v>
      </c>
      <c r="N280" s="3073"/>
      <c r="O280" s="3100"/>
      <c r="P280" s="3101"/>
      <c r="Q280" s="3101"/>
      <c r="R280" s="3101"/>
      <c r="S280" s="3102" t="s">
        <v>295</v>
      </c>
      <c r="T280" s="3102" t="s">
        <v>213</v>
      </c>
      <c r="U280" s="3103"/>
      <c r="V280" s="3103" t="s">
        <v>295</v>
      </c>
      <c r="W280" s="3103" t="s">
        <v>6797</v>
      </c>
      <c r="X280" s="3103" t="s">
        <v>6798</v>
      </c>
      <c r="Y280" s="3104" t="s">
        <v>164</v>
      </c>
    </row>
    <row r="281" spans="1:25" ht="26">
      <c r="A281" s="1304"/>
      <c r="B281" s="643">
        <v>2996</v>
      </c>
      <c r="C281" s="643" t="s">
        <v>1761</v>
      </c>
      <c r="D281" s="3088">
        <v>1</v>
      </c>
      <c r="E281" s="3089" t="str">
        <f t="shared" si="37"/>
        <v>其他非流动负债</v>
      </c>
      <c r="F281" s="3090" t="s">
        <v>1762</v>
      </c>
      <c r="G281" s="3091">
        <f t="shared" si="38"/>
        <v>0</v>
      </c>
      <c r="H281" s="3092">
        <f ca="1">INDIRECT("Notes!CheckA"&amp;$C281)</f>
        <v>0</v>
      </c>
      <c r="I281" s="3094">
        <f ca="1">IF(AND(LEN(G281)&gt;0,LEN(H281)&gt;0),ROUND(SUM(G281)-SUM(H281),2),"")</f>
        <v>0</v>
      </c>
      <c r="J281" s="3073" t="str">
        <f ca="1">IF(ISNA(I281),"N/A",IF(I281=0,"√","？"))</f>
        <v>√</v>
      </c>
      <c r="K281" s="3091">
        <f t="shared" si="31"/>
        <v>0</v>
      </c>
      <c r="L281" s="3072">
        <f ca="1">INDIRECT("Notes!CheckB"&amp;$C281)</f>
        <v>0</v>
      </c>
      <c r="M281" s="3094">
        <f ca="1">IF(AND(LEN(K281)&gt;0,LEN(L281)&gt;0),ROUND(SUM(K281)-SUM(L281),2),"")</f>
        <v>0</v>
      </c>
      <c r="N281" s="3073" t="str">
        <f ca="1">IF(ISNA(M281),"N/A",IF(M281=0,"√","？"))</f>
        <v>√</v>
      </c>
      <c r="O281" s="3100"/>
      <c r="P281" s="3101"/>
      <c r="Q281" s="3101"/>
      <c r="R281" s="3101"/>
      <c r="S281" s="3102" t="s">
        <v>295</v>
      </c>
      <c r="T281" s="3102" t="s">
        <v>213</v>
      </c>
      <c r="U281" s="3103"/>
      <c r="V281" s="3103" t="s">
        <v>295</v>
      </c>
      <c r="W281" s="3103" t="s">
        <v>6797</v>
      </c>
      <c r="X281" s="3103" t="s">
        <v>6798</v>
      </c>
      <c r="Y281" s="3104" t="s">
        <v>164</v>
      </c>
    </row>
    <row r="282" spans="1:25" ht="26" hidden="1">
      <c r="A282" s="1304"/>
      <c r="B282" s="643">
        <v>2996</v>
      </c>
      <c r="C282" s="643" t="s">
        <v>1766</v>
      </c>
      <c r="D282" s="3088">
        <v>2</v>
      </c>
      <c r="E282" s="3089" t="str">
        <f t="shared" si="37"/>
        <v>其他非流动负债</v>
      </c>
      <c r="F282" s="3090" t="s">
        <v>1767</v>
      </c>
      <c r="G282" s="3091">
        <f t="shared" si="38"/>
        <v>0</v>
      </c>
      <c r="H282" s="3092">
        <f ca="1">INDIRECT("Notes!CheckA"&amp;$C282)</f>
        <v>0</v>
      </c>
      <c r="I282" s="3094" t="s">
        <v>6803</v>
      </c>
      <c r="J282" s="3073"/>
      <c r="K282" s="3091">
        <f t="shared" si="31"/>
        <v>0</v>
      </c>
      <c r="L282" s="3072">
        <f ca="1">INDIRECT("Notes!CheckB"&amp;$C282)</f>
        <v>0</v>
      </c>
      <c r="M282" s="3094" t="s">
        <v>6803</v>
      </c>
      <c r="N282" s="3073"/>
      <c r="O282" s="3100"/>
      <c r="P282" s="3101"/>
      <c r="Q282" s="3101"/>
      <c r="R282" s="3101"/>
      <c r="S282" s="3102" t="s">
        <v>295</v>
      </c>
      <c r="T282" s="3102" t="s">
        <v>213</v>
      </c>
      <c r="U282" s="3103"/>
      <c r="V282" s="3103" t="s">
        <v>295</v>
      </c>
      <c r="W282" s="3103" t="s">
        <v>6797</v>
      </c>
      <c r="X282" s="3103" t="s">
        <v>213</v>
      </c>
      <c r="Y282" s="3104" t="s">
        <v>164</v>
      </c>
    </row>
    <row r="283" spans="1:25" ht="17" hidden="1">
      <c r="A283" s="1304"/>
      <c r="B283" s="643">
        <v>4001</v>
      </c>
      <c r="C283" s="643" t="s">
        <v>1774</v>
      </c>
      <c r="D283" s="3088">
        <v>2</v>
      </c>
      <c r="E283" s="3089" t="str">
        <f t="shared" si="37"/>
        <v>实收资本</v>
      </c>
      <c r="F283" s="3090" t="s">
        <v>1775</v>
      </c>
      <c r="G283" s="3091">
        <f t="shared" si="38"/>
        <v>0</v>
      </c>
      <c r="H283" s="3092" t="s">
        <v>6799</v>
      </c>
      <c r="I283" s="3094" t="s">
        <v>6803</v>
      </c>
      <c r="J283" s="3073"/>
      <c r="K283" s="3091">
        <f t="shared" si="31"/>
        <v>0</v>
      </c>
      <c r="L283" s="3072" t="s">
        <v>6799</v>
      </c>
      <c r="M283" s="3094" t="s">
        <v>6803</v>
      </c>
      <c r="N283" s="3073"/>
      <c r="O283" s="3100"/>
      <c r="P283" s="3101"/>
      <c r="Q283" s="3101"/>
      <c r="R283" s="3101"/>
      <c r="S283" s="3102" t="s">
        <v>295</v>
      </c>
      <c r="T283" s="3102" t="s">
        <v>213</v>
      </c>
      <c r="U283" s="3103"/>
      <c r="V283" s="3103" t="s">
        <v>295</v>
      </c>
      <c r="W283" s="3103" t="s">
        <v>6797</v>
      </c>
      <c r="X283" s="3103" t="s">
        <v>6800</v>
      </c>
      <c r="Y283" s="3104" t="s">
        <v>164</v>
      </c>
    </row>
    <row r="284" spans="1:25" ht="17">
      <c r="A284" s="1304"/>
      <c r="B284" s="643">
        <v>4001</v>
      </c>
      <c r="C284" s="643" t="s">
        <v>1780</v>
      </c>
      <c r="D284" s="3088">
        <v>1</v>
      </c>
      <c r="E284" s="3089" t="str">
        <f t="shared" si="37"/>
        <v>实收资本</v>
      </c>
      <c r="F284" s="3090" t="s">
        <v>1781</v>
      </c>
      <c r="G284" s="3091">
        <f t="shared" si="38"/>
        <v>0</v>
      </c>
      <c r="H284" s="3092">
        <f t="shared" ref="H284:H300" ca="1" si="39">INDIRECT("Notes!CheckA"&amp;$C284)</f>
        <v>0</v>
      </c>
      <c r="I284" s="3094">
        <f ca="1">IF(AND(LEN(G284)&gt;0,LEN(H284)&gt;0),ROUND(SUM(G284)-SUM(H284),2),"")</f>
        <v>0</v>
      </c>
      <c r="J284" s="3073" t="str">
        <f ca="1">IF(ISNA(I284),"N/A",IF(I284=0,"√","？"))</f>
        <v>√</v>
      </c>
      <c r="K284" s="3091">
        <f t="shared" si="31"/>
        <v>0</v>
      </c>
      <c r="L284" s="3072">
        <f ca="1">INDIRECT("Notes!CheckB"&amp;$C284)</f>
        <v>0</v>
      </c>
      <c r="M284" s="3094">
        <f ca="1">IF(AND(LEN(K284)&gt;0,LEN(L284)&gt;0),ROUND(SUM(K284)-SUM(L284),2),"")</f>
        <v>0</v>
      </c>
      <c r="N284" s="3073" t="str">
        <f ca="1">IF(ISNA(M284),"N/A",IF(M284=0,"√","？"))</f>
        <v>√</v>
      </c>
      <c r="O284" s="3100"/>
      <c r="P284" s="3101"/>
      <c r="Q284" s="3101"/>
      <c r="R284" s="3101"/>
      <c r="S284" s="3102" t="s">
        <v>295</v>
      </c>
      <c r="T284" s="3102" t="s">
        <v>213</v>
      </c>
      <c r="U284" s="3103"/>
      <c r="V284" s="3103" t="s">
        <v>295</v>
      </c>
      <c r="W284" s="3103" t="s">
        <v>6797</v>
      </c>
      <c r="X284" s="3103" t="s">
        <v>6801</v>
      </c>
      <c r="Y284" s="3104" t="s">
        <v>164</v>
      </c>
    </row>
    <row r="285" spans="1:25" ht="39" hidden="1">
      <c r="A285" s="1304"/>
      <c r="B285" s="643">
        <v>4015</v>
      </c>
      <c r="C285" s="643" t="s">
        <v>1790</v>
      </c>
      <c r="D285" s="3088">
        <v>2</v>
      </c>
      <c r="E285" s="3089" t="str">
        <f t="shared" si="37"/>
        <v>其他权益工具</v>
      </c>
      <c r="F285" s="3090" t="s">
        <v>1791</v>
      </c>
      <c r="G285" s="3091">
        <f t="shared" si="38"/>
        <v>0</v>
      </c>
      <c r="H285" s="3092">
        <f t="shared" ca="1" si="39"/>
        <v>0</v>
      </c>
      <c r="I285" s="3094" t="s">
        <v>6803</v>
      </c>
      <c r="J285" s="3073"/>
      <c r="K285" s="3091">
        <f t="shared" si="31"/>
        <v>0</v>
      </c>
      <c r="L285" s="3072" t="s">
        <v>6799</v>
      </c>
      <c r="M285" s="3094" t="s">
        <v>6803</v>
      </c>
      <c r="N285" s="3073"/>
      <c r="O285" s="3100"/>
      <c r="P285" s="3101"/>
      <c r="Q285" s="3101"/>
      <c r="R285" s="3101"/>
      <c r="S285" s="3102" t="s">
        <v>295</v>
      </c>
      <c r="T285" s="3102" t="s">
        <v>213</v>
      </c>
      <c r="U285" s="3103"/>
      <c r="V285" s="3103" t="s">
        <v>295</v>
      </c>
      <c r="W285" s="3103" t="s">
        <v>6797</v>
      </c>
      <c r="X285" s="3103" t="s">
        <v>6800</v>
      </c>
      <c r="Y285" s="3104" t="s">
        <v>164</v>
      </c>
    </row>
    <row r="286" spans="1:25" ht="39">
      <c r="A286" s="1304"/>
      <c r="B286" s="643">
        <v>4015</v>
      </c>
      <c r="C286" s="643" t="s">
        <v>1795</v>
      </c>
      <c r="D286" s="3088">
        <v>1</v>
      </c>
      <c r="E286" s="3089" t="str">
        <f t="shared" si="37"/>
        <v>其他权益工具</v>
      </c>
      <c r="F286" s="3090" t="s">
        <v>1796</v>
      </c>
      <c r="G286" s="3091">
        <f t="shared" si="38"/>
        <v>0</v>
      </c>
      <c r="H286" s="3092">
        <f t="shared" ca="1" si="39"/>
        <v>0</v>
      </c>
      <c r="I286" s="3094">
        <f t="shared" ref="I286:I293" ca="1" si="40">IF(AND(LEN(G286)&gt;0,LEN(H286)&gt;0),ROUND(SUM(G286)-SUM(H286),2),"")</f>
        <v>0</v>
      </c>
      <c r="J286" s="3073" t="str">
        <f t="shared" ref="J286:J293" ca="1" si="41">IF(ISNA(I286),"N/A",IF(I286=0,"√","？"))</f>
        <v>√</v>
      </c>
      <c r="K286" s="3091">
        <f t="shared" si="31"/>
        <v>0</v>
      </c>
      <c r="L286" s="3072">
        <f t="shared" ref="L286:L293" ca="1" si="42">INDIRECT("Notes!CheckB"&amp;$C286)</f>
        <v>0</v>
      </c>
      <c r="M286" s="3094">
        <f t="shared" ref="M286:M293" ca="1" si="43">IF(AND(LEN(K286)&gt;0,LEN(L286)&gt;0),ROUND(SUM(K286)-SUM(L286),2),"")</f>
        <v>0</v>
      </c>
      <c r="N286" s="3073" t="str">
        <f t="shared" ref="N286:N293" ca="1" si="44">IF(ISNA(M286),"N/A",IF(M286=0,"√","？"))</f>
        <v>√</v>
      </c>
      <c r="O286" s="3100"/>
      <c r="P286" s="3101"/>
      <c r="Q286" s="3101"/>
      <c r="R286" s="3101"/>
      <c r="S286" s="3102" t="s">
        <v>295</v>
      </c>
      <c r="T286" s="3102" t="s">
        <v>213</v>
      </c>
      <c r="U286" s="3103"/>
      <c r="V286" s="3103" t="s">
        <v>295</v>
      </c>
      <c r="W286" s="3103" t="s">
        <v>6797</v>
      </c>
      <c r="X286" s="3103" t="s">
        <v>6798</v>
      </c>
      <c r="Y286" s="3104" t="s">
        <v>164</v>
      </c>
    </row>
    <row r="287" spans="1:25" ht="17">
      <c r="A287" s="1304"/>
      <c r="B287" s="643">
        <v>4002</v>
      </c>
      <c r="C287" s="643" t="s">
        <v>1785</v>
      </c>
      <c r="D287" s="3088">
        <v>1</v>
      </c>
      <c r="E287" s="3089" t="str">
        <f t="shared" si="37"/>
        <v>资本公积</v>
      </c>
      <c r="F287" s="3090" t="s">
        <v>1786</v>
      </c>
      <c r="G287" s="3091">
        <f t="shared" si="38"/>
        <v>0</v>
      </c>
      <c r="H287" s="3092">
        <f t="shared" ca="1" si="39"/>
        <v>0</v>
      </c>
      <c r="I287" s="3094">
        <f t="shared" ca="1" si="40"/>
        <v>0</v>
      </c>
      <c r="J287" s="3073" t="str">
        <f t="shared" ca="1" si="41"/>
        <v>√</v>
      </c>
      <c r="K287" s="3091">
        <f t="shared" ref="K287:K350" si="45">IF(ISERROR(VLOOKUP($B287,Sheet_Trialbal,10,0)),"        ----",VLOOKUP($B287,Sheet_Trialbal,10,0))</f>
        <v>0</v>
      </c>
      <c r="L287" s="3072">
        <f t="shared" ca="1" si="42"/>
        <v>0</v>
      </c>
      <c r="M287" s="3094">
        <f t="shared" ca="1" si="43"/>
        <v>0</v>
      </c>
      <c r="N287" s="3073" t="str">
        <f t="shared" ca="1" si="44"/>
        <v>√</v>
      </c>
      <c r="O287" s="3100"/>
      <c r="P287" s="3101"/>
      <c r="Q287" s="3101"/>
      <c r="R287" s="3101"/>
      <c r="S287" s="3102" t="s">
        <v>295</v>
      </c>
      <c r="T287" s="3102" t="s">
        <v>213</v>
      </c>
      <c r="U287" s="3103"/>
      <c r="V287" s="3103" t="s">
        <v>295</v>
      </c>
      <c r="W287" s="3103" t="s">
        <v>6797</v>
      </c>
      <c r="X287" s="3103" t="s">
        <v>6798</v>
      </c>
      <c r="Y287" s="3104" t="s">
        <v>164</v>
      </c>
    </row>
    <row r="288" spans="1:25" ht="17">
      <c r="A288" s="1304"/>
      <c r="B288" s="643">
        <v>4201</v>
      </c>
      <c r="C288" s="643" t="s">
        <v>1828</v>
      </c>
      <c r="D288" s="3088">
        <v>1</v>
      </c>
      <c r="E288" s="3089" t="str">
        <f t="shared" si="37"/>
        <v>库存股</v>
      </c>
      <c r="F288" s="3090" t="s">
        <v>1829</v>
      </c>
      <c r="G288" s="3091">
        <f t="shared" si="38"/>
        <v>0</v>
      </c>
      <c r="H288" s="3092">
        <f t="shared" ca="1" si="39"/>
        <v>0</v>
      </c>
      <c r="I288" s="3094">
        <f t="shared" ca="1" si="40"/>
        <v>0</v>
      </c>
      <c r="J288" s="3073" t="str">
        <f t="shared" ca="1" si="41"/>
        <v>√</v>
      </c>
      <c r="K288" s="3091">
        <f t="shared" si="45"/>
        <v>0</v>
      </c>
      <c r="L288" s="3072">
        <f t="shared" ca="1" si="42"/>
        <v>0</v>
      </c>
      <c r="M288" s="3094">
        <f t="shared" ca="1" si="43"/>
        <v>0</v>
      </c>
      <c r="N288" s="3073" t="str">
        <f t="shared" ca="1" si="44"/>
        <v>√</v>
      </c>
      <c r="O288" s="3100"/>
      <c r="P288" s="3101"/>
      <c r="Q288" s="3101"/>
      <c r="R288" s="3101"/>
      <c r="S288" s="3102" t="s">
        <v>295</v>
      </c>
      <c r="T288" s="3102" t="s">
        <v>213</v>
      </c>
      <c r="U288" s="3103"/>
      <c r="V288" s="3103" t="s">
        <v>295</v>
      </c>
      <c r="W288" s="3103" t="s">
        <v>6797</v>
      </c>
      <c r="X288" s="3103" t="s">
        <v>6798</v>
      </c>
      <c r="Y288" s="3104" t="s">
        <v>164</v>
      </c>
    </row>
    <row r="289" spans="1:25" ht="17">
      <c r="A289" s="1304"/>
      <c r="B289" s="643">
        <v>4215</v>
      </c>
      <c r="C289" s="643" t="s">
        <v>1831</v>
      </c>
      <c r="D289" s="3088">
        <v>1</v>
      </c>
      <c r="E289" s="3089" t="str">
        <f t="shared" si="37"/>
        <v>其他综合收益</v>
      </c>
      <c r="F289" s="3090" t="s">
        <v>1832</v>
      </c>
      <c r="G289" s="3091">
        <f t="shared" si="38"/>
        <v>0</v>
      </c>
      <c r="H289" s="3092">
        <f t="shared" ca="1" si="39"/>
        <v>0</v>
      </c>
      <c r="I289" s="3094">
        <f t="shared" ca="1" si="40"/>
        <v>0</v>
      </c>
      <c r="J289" s="3073" t="str">
        <f t="shared" ca="1" si="41"/>
        <v>√</v>
      </c>
      <c r="K289" s="3091">
        <f t="shared" si="45"/>
        <v>0</v>
      </c>
      <c r="L289" s="3072">
        <f t="shared" ca="1" si="42"/>
        <v>0</v>
      </c>
      <c r="M289" s="3094">
        <f t="shared" ca="1" si="43"/>
        <v>0</v>
      </c>
      <c r="N289" s="3073" t="str">
        <f t="shared" ca="1" si="44"/>
        <v>√</v>
      </c>
      <c r="O289" s="3100"/>
      <c r="P289" s="3101"/>
      <c r="Q289" s="3101"/>
      <c r="R289" s="3101"/>
      <c r="S289" s="3102" t="s">
        <v>295</v>
      </c>
      <c r="T289" s="3102" t="s">
        <v>213</v>
      </c>
      <c r="U289" s="3103"/>
      <c r="V289" s="3103" t="s">
        <v>295</v>
      </c>
      <c r="W289" s="3103" t="s">
        <v>145</v>
      </c>
      <c r="X289" s="3103" t="s">
        <v>6800</v>
      </c>
      <c r="Y289" s="3104" t="s">
        <v>119</v>
      </c>
    </row>
    <row r="290" spans="1:25" ht="17">
      <c r="A290" s="1304"/>
      <c r="B290" s="643">
        <v>4301</v>
      </c>
      <c r="C290" s="643" t="s">
        <v>1837</v>
      </c>
      <c r="D290" s="3088">
        <v>1</v>
      </c>
      <c r="E290" s="3089" t="str">
        <f t="shared" si="37"/>
        <v>专项储备</v>
      </c>
      <c r="F290" s="3090" t="s">
        <v>1838</v>
      </c>
      <c r="G290" s="3091">
        <f t="shared" si="38"/>
        <v>0</v>
      </c>
      <c r="H290" s="3092">
        <f t="shared" ca="1" si="39"/>
        <v>0</v>
      </c>
      <c r="I290" s="3094">
        <f t="shared" ca="1" si="40"/>
        <v>0</v>
      </c>
      <c r="J290" s="3073" t="str">
        <f t="shared" ca="1" si="41"/>
        <v>√</v>
      </c>
      <c r="K290" s="3091">
        <f t="shared" si="45"/>
        <v>0</v>
      </c>
      <c r="L290" s="3072">
        <f t="shared" ca="1" si="42"/>
        <v>0</v>
      </c>
      <c r="M290" s="3094">
        <f t="shared" ca="1" si="43"/>
        <v>0</v>
      </c>
      <c r="N290" s="3073" t="str">
        <f t="shared" ca="1" si="44"/>
        <v>√</v>
      </c>
      <c r="O290" s="3100"/>
      <c r="P290" s="3101"/>
      <c r="Q290" s="3101"/>
      <c r="R290" s="3101"/>
      <c r="S290" s="3102" t="s">
        <v>295</v>
      </c>
      <c r="T290" s="3102" t="s">
        <v>213</v>
      </c>
      <c r="U290" s="3103"/>
      <c r="V290" s="3103" t="s">
        <v>295</v>
      </c>
      <c r="W290" s="3103" t="s">
        <v>6797</v>
      </c>
      <c r="X290" s="3103" t="s">
        <v>6798</v>
      </c>
      <c r="Y290" s="3104" t="s">
        <v>164</v>
      </c>
    </row>
    <row r="291" spans="1:25" ht="17">
      <c r="A291" s="1304"/>
      <c r="B291" s="643">
        <v>4101</v>
      </c>
      <c r="C291" s="643" t="s">
        <v>1805</v>
      </c>
      <c r="D291" s="3088">
        <v>1</v>
      </c>
      <c r="E291" s="3089" t="str">
        <f t="shared" si="37"/>
        <v>盈余公积</v>
      </c>
      <c r="F291" s="3090" t="s">
        <v>1806</v>
      </c>
      <c r="G291" s="3091">
        <f t="shared" si="38"/>
        <v>0</v>
      </c>
      <c r="H291" s="3092">
        <f t="shared" ca="1" si="39"/>
        <v>0</v>
      </c>
      <c r="I291" s="3094">
        <f t="shared" ca="1" si="40"/>
        <v>0</v>
      </c>
      <c r="J291" s="3073" t="str">
        <f t="shared" ca="1" si="41"/>
        <v>√</v>
      </c>
      <c r="K291" s="3091">
        <f t="shared" si="45"/>
        <v>0</v>
      </c>
      <c r="L291" s="3072">
        <f t="shared" ca="1" si="42"/>
        <v>0</v>
      </c>
      <c r="M291" s="3094">
        <f t="shared" ca="1" si="43"/>
        <v>0</v>
      </c>
      <c r="N291" s="3073" t="str">
        <f t="shared" ca="1" si="44"/>
        <v>√</v>
      </c>
      <c r="O291" s="3100"/>
      <c r="P291" s="3101"/>
      <c r="Q291" s="3101"/>
      <c r="R291" s="3101"/>
      <c r="S291" s="3102" t="s">
        <v>295</v>
      </c>
      <c r="T291" s="3102" t="s">
        <v>213</v>
      </c>
      <c r="U291" s="3103"/>
      <c r="V291" s="3103" t="s">
        <v>295</v>
      </c>
      <c r="W291" s="3103" t="s">
        <v>145</v>
      </c>
      <c r="X291" s="3103" t="s">
        <v>6800</v>
      </c>
      <c r="Y291" s="3104" t="s">
        <v>119</v>
      </c>
    </row>
    <row r="292" spans="1:25" ht="17">
      <c r="A292" s="1304"/>
      <c r="B292" s="643">
        <v>4102</v>
      </c>
      <c r="C292" s="643" t="s">
        <v>1815</v>
      </c>
      <c r="D292" s="3088">
        <v>1</v>
      </c>
      <c r="E292" s="3089" t="str">
        <f t="shared" si="37"/>
        <v>一般风险准备</v>
      </c>
      <c r="F292" s="3090" t="s">
        <v>1816</v>
      </c>
      <c r="G292" s="3091">
        <f t="shared" si="38"/>
        <v>0</v>
      </c>
      <c r="H292" s="3092">
        <f t="shared" ca="1" si="39"/>
        <v>0</v>
      </c>
      <c r="I292" s="3094">
        <f t="shared" ca="1" si="40"/>
        <v>0</v>
      </c>
      <c r="J292" s="3073" t="str">
        <f t="shared" ca="1" si="41"/>
        <v>√</v>
      </c>
      <c r="K292" s="3091">
        <f t="shared" si="45"/>
        <v>0</v>
      </c>
      <c r="L292" s="3072">
        <f t="shared" ca="1" si="42"/>
        <v>0</v>
      </c>
      <c r="M292" s="3094">
        <f t="shared" ca="1" si="43"/>
        <v>0</v>
      </c>
      <c r="N292" s="3073" t="str">
        <f t="shared" ca="1" si="44"/>
        <v>√</v>
      </c>
      <c r="O292" s="3100"/>
      <c r="P292" s="3101"/>
      <c r="Q292" s="3101"/>
      <c r="R292" s="3101"/>
      <c r="S292" s="3102" t="s">
        <v>295</v>
      </c>
      <c r="T292" s="3102" t="s">
        <v>213</v>
      </c>
      <c r="U292" s="3103"/>
      <c r="V292" s="3103" t="s">
        <v>295</v>
      </c>
      <c r="W292" s="3103" t="s">
        <v>6797</v>
      </c>
      <c r="X292" s="3103" t="s">
        <v>213</v>
      </c>
      <c r="Y292" s="3104" t="s">
        <v>164</v>
      </c>
    </row>
    <row r="293" spans="1:25" ht="26">
      <c r="A293" s="1304"/>
      <c r="B293" s="643">
        <v>4200</v>
      </c>
      <c r="C293" s="643" t="s">
        <v>1820</v>
      </c>
      <c r="D293" s="3088">
        <v>1</v>
      </c>
      <c r="E293" s="3089" t="str">
        <f t="shared" si="37"/>
        <v>未分配利润</v>
      </c>
      <c r="F293" s="3090" t="s">
        <v>1821</v>
      </c>
      <c r="G293" s="3091">
        <f t="shared" si="38"/>
        <v>-4039.23</v>
      </c>
      <c r="H293" s="3092">
        <f t="shared" ca="1" si="39"/>
        <v>-4039.23</v>
      </c>
      <c r="I293" s="3094">
        <f t="shared" ca="1" si="40"/>
        <v>0</v>
      </c>
      <c r="J293" s="3073" t="str">
        <f t="shared" ca="1" si="41"/>
        <v>√</v>
      </c>
      <c r="K293" s="3091">
        <f t="shared" si="45"/>
        <v>-1714.32</v>
      </c>
      <c r="L293" s="3072">
        <f t="shared" ca="1" si="42"/>
        <v>-1714.32</v>
      </c>
      <c r="M293" s="3094">
        <f t="shared" ca="1" si="43"/>
        <v>0</v>
      </c>
      <c r="N293" s="3073" t="str">
        <f t="shared" ca="1" si="44"/>
        <v>√</v>
      </c>
      <c r="O293" s="3100"/>
      <c r="P293" s="3101"/>
      <c r="Q293" s="3101"/>
      <c r="R293" s="3101"/>
      <c r="S293" s="3102" t="s">
        <v>295</v>
      </c>
      <c r="T293" s="3102" t="s">
        <v>213</v>
      </c>
      <c r="U293" s="3103"/>
      <c r="V293" s="3103" t="s">
        <v>295</v>
      </c>
      <c r="W293" s="3103" t="s">
        <v>6797</v>
      </c>
      <c r="X293" s="3103" t="s">
        <v>6798</v>
      </c>
      <c r="Y293" s="3104" t="s">
        <v>164</v>
      </c>
    </row>
    <row r="294" spans="1:25" ht="26" hidden="1">
      <c r="A294" s="1304"/>
      <c r="B294" s="643">
        <v>4200</v>
      </c>
      <c r="C294" s="643" t="s">
        <v>1824</v>
      </c>
      <c r="D294" s="3088">
        <v>2</v>
      </c>
      <c r="E294" s="3089" t="str">
        <f t="shared" si="37"/>
        <v>未分配利润</v>
      </c>
      <c r="F294" s="3090" t="s">
        <v>1825</v>
      </c>
      <c r="G294" s="3091">
        <f t="shared" si="38"/>
        <v>-4039.23</v>
      </c>
      <c r="H294" s="3092">
        <f t="shared" ca="1" si="39"/>
        <v>0</v>
      </c>
      <c r="I294" s="3094" t="s">
        <v>6803</v>
      </c>
      <c r="J294" s="3073"/>
      <c r="K294" s="3091">
        <f t="shared" si="45"/>
        <v>-1714.32</v>
      </c>
      <c r="L294" s="3072" t="s">
        <v>6799</v>
      </c>
      <c r="M294" s="3094" t="s">
        <v>6803</v>
      </c>
      <c r="N294" s="3073"/>
      <c r="O294" s="3100"/>
      <c r="P294" s="3101"/>
      <c r="Q294" s="3101"/>
      <c r="R294" s="3101"/>
      <c r="S294" s="3102" t="s">
        <v>295</v>
      </c>
      <c r="T294" s="3102" t="s">
        <v>213</v>
      </c>
      <c r="U294" s="3103"/>
      <c r="V294" s="3103" t="s">
        <v>295</v>
      </c>
      <c r="W294" s="3103" t="s">
        <v>6797</v>
      </c>
      <c r="X294" s="3103" t="s">
        <v>213</v>
      </c>
      <c r="Y294" s="3104" t="s">
        <v>164</v>
      </c>
    </row>
    <row r="295" spans="1:25" ht="26" hidden="1">
      <c r="A295" s="1304"/>
      <c r="B295" s="643"/>
      <c r="C295" s="643" t="s">
        <v>1844</v>
      </c>
      <c r="D295" s="3088">
        <v>3</v>
      </c>
      <c r="E295" s="3089" t="str">
        <f t="shared" si="37"/>
        <v xml:space="preserve">        ----</v>
      </c>
      <c r="F295" s="3090" t="s">
        <v>1845</v>
      </c>
      <c r="G295" s="3091" t="str">
        <f t="shared" si="38"/>
        <v xml:space="preserve">        ----</v>
      </c>
      <c r="H295" s="3092">
        <f t="shared" ca="1" si="39"/>
        <v>0</v>
      </c>
      <c r="I295" s="3094" t="s">
        <v>6803</v>
      </c>
      <c r="J295" s="3073"/>
      <c r="K295" s="3091" t="str">
        <f t="shared" si="45"/>
        <v xml:space="preserve">        ----</v>
      </c>
      <c r="L295" s="3072">
        <f t="shared" ref="L295:L300" ca="1" si="46">INDIRECT("Notes!CheckB"&amp;$C295)</f>
        <v>0</v>
      </c>
      <c r="M295" s="3094" t="s">
        <v>6803</v>
      </c>
      <c r="N295" s="3073"/>
      <c r="O295" s="3100"/>
      <c r="P295" s="3101"/>
      <c r="Q295" s="3101"/>
      <c r="R295" s="3101"/>
      <c r="S295" s="3102" t="s">
        <v>295</v>
      </c>
      <c r="T295" s="3102" t="s">
        <v>213</v>
      </c>
      <c r="U295" s="3103"/>
      <c r="V295" s="3103" t="s">
        <v>295</v>
      </c>
      <c r="W295" s="3103" t="s">
        <v>6797</v>
      </c>
      <c r="X295" s="3103" t="s">
        <v>6798</v>
      </c>
      <c r="Y295" s="3104" t="s">
        <v>164</v>
      </c>
    </row>
    <row r="296" spans="1:25" ht="17">
      <c r="A296" s="1304"/>
      <c r="B296" s="643">
        <v>6001</v>
      </c>
      <c r="C296" s="643" t="s">
        <v>1848</v>
      </c>
      <c r="D296" s="3088">
        <v>1</v>
      </c>
      <c r="E296" s="3089" t="str">
        <f t="shared" si="37"/>
        <v>营业收入</v>
      </c>
      <c r="F296" s="3090" t="s">
        <v>1849</v>
      </c>
      <c r="G296" s="3091">
        <f t="shared" si="38"/>
        <v>0</v>
      </c>
      <c r="H296" s="3092">
        <f t="shared" ca="1" si="39"/>
        <v>0</v>
      </c>
      <c r="I296" s="3094">
        <f ca="1">IF(AND(LEN(G296)&gt;0,LEN(H296)&gt;0),ROUND(SUM(G296)-SUM(H296),2),"")</f>
        <v>0</v>
      </c>
      <c r="J296" s="3073" t="str">
        <f ca="1">IF(ISNA(I296),"N/A",IF(I296=0,"√","？"))</f>
        <v>√</v>
      </c>
      <c r="K296" s="3091">
        <f t="shared" si="45"/>
        <v>0</v>
      </c>
      <c r="L296" s="3072">
        <f t="shared" ca="1" si="46"/>
        <v>0</v>
      </c>
      <c r="M296" s="3094">
        <f ca="1">IF(AND(LEN(K296)&gt;0,LEN(L296)&gt;0),ROUND(SUM(K296)-SUM(L296),2),"")</f>
        <v>0</v>
      </c>
      <c r="N296" s="3073" t="str">
        <f ca="1">IF(ISNA(M296),"N/A",IF(M296=0,"√","？"))</f>
        <v>√</v>
      </c>
      <c r="O296" s="3100"/>
      <c r="P296" s="3101"/>
      <c r="Q296" s="3101"/>
      <c r="R296" s="3101"/>
      <c r="S296" s="3102" t="s">
        <v>295</v>
      </c>
      <c r="T296" s="3102" t="s">
        <v>213</v>
      </c>
      <c r="U296" s="3103"/>
      <c r="V296" s="3103" t="s">
        <v>295</v>
      </c>
      <c r="W296" s="3103" t="s">
        <v>6797</v>
      </c>
      <c r="X296" s="3103" t="s">
        <v>6798</v>
      </c>
      <c r="Y296" s="3104" t="s">
        <v>164</v>
      </c>
    </row>
    <row r="297" spans="1:25" ht="17">
      <c r="A297" s="1304"/>
      <c r="B297" s="643">
        <v>6401</v>
      </c>
      <c r="C297" s="643" t="s">
        <v>1851</v>
      </c>
      <c r="D297" s="3088">
        <v>1</v>
      </c>
      <c r="E297" s="3089" t="str">
        <f t="shared" si="37"/>
        <v>营业成本</v>
      </c>
      <c r="F297" s="3090" t="s">
        <v>1852</v>
      </c>
      <c r="G297" s="3091">
        <f t="shared" si="38"/>
        <v>0</v>
      </c>
      <c r="H297" s="3092">
        <f t="shared" ca="1" si="39"/>
        <v>0</v>
      </c>
      <c r="I297" s="3094">
        <f ca="1">IF(AND(LEN(G297)&gt;0,LEN(H297)&gt;0),ROUND(SUM(G297)-SUM(H297),2),"")</f>
        <v>0</v>
      </c>
      <c r="J297" s="3073" t="str">
        <f ca="1">IF(ISNA(I297),"N/A",IF(I297=0,"√","？"))</f>
        <v>√</v>
      </c>
      <c r="K297" s="3091">
        <f t="shared" si="45"/>
        <v>0</v>
      </c>
      <c r="L297" s="3072">
        <f t="shared" ca="1" si="46"/>
        <v>0</v>
      </c>
      <c r="M297" s="3094">
        <f ca="1">IF(AND(LEN(K297)&gt;0,LEN(L297)&gt;0),ROUND(SUM(K297)-SUM(L297),2),"")</f>
        <v>0</v>
      </c>
      <c r="N297" s="3073" t="str">
        <f ca="1">IF(ISNA(M297),"N/A",IF(M297=0,"√","？"))</f>
        <v>√</v>
      </c>
      <c r="O297" s="3100"/>
      <c r="P297" s="3101"/>
      <c r="Q297" s="3101"/>
      <c r="R297" s="3101"/>
      <c r="S297" s="3102" t="s">
        <v>295</v>
      </c>
      <c r="T297" s="3102" t="s">
        <v>213</v>
      </c>
      <c r="U297" s="3103"/>
      <c r="V297" s="3103" t="s">
        <v>295</v>
      </c>
      <c r="W297" s="3103" t="s">
        <v>6797</v>
      </c>
      <c r="X297" s="3103" t="s">
        <v>6798</v>
      </c>
      <c r="Y297" s="3104" t="s">
        <v>164</v>
      </c>
    </row>
    <row r="298" spans="1:25" ht="26" hidden="1">
      <c r="A298" s="1304"/>
      <c r="B298" s="643"/>
      <c r="C298" s="643" t="s">
        <v>1854</v>
      </c>
      <c r="D298" s="3088">
        <v>3</v>
      </c>
      <c r="E298" s="3089" t="str">
        <f t="shared" si="37"/>
        <v xml:space="preserve">        ----</v>
      </c>
      <c r="F298" s="3090" t="s">
        <v>1855</v>
      </c>
      <c r="G298" s="3091" t="str">
        <f t="shared" si="38"/>
        <v xml:space="preserve">        ----</v>
      </c>
      <c r="H298" s="3092">
        <f t="shared" ca="1" si="39"/>
        <v>0</v>
      </c>
      <c r="I298" s="3094" t="s">
        <v>6803</v>
      </c>
      <c r="J298" s="3073"/>
      <c r="K298" s="3091" t="str">
        <f t="shared" si="45"/>
        <v xml:space="preserve">        ----</v>
      </c>
      <c r="L298" s="3072">
        <f t="shared" ca="1" si="46"/>
        <v>0</v>
      </c>
      <c r="M298" s="3094" t="s">
        <v>6803</v>
      </c>
      <c r="N298" s="3073"/>
      <c r="O298" s="3100"/>
      <c r="P298" s="3101"/>
      <c r="Q298" s="3101"/>
      <c r="R298" s="3101"/>
      <c r="S298" s="3102" t="s">
        <v>295</v>
      </c>
      <c r="T298" s="3102" t="s">
        <v>213</v>
      </c>
      <c r="U298" s="3103"/>
      <c r="V298" s="3103" t="s">
        <v>295</v>
      </c>
      <c r="W298" s="3103" t="s">
        <v>6797</v>
      </c>
      <c r="X298" s="3103" t="s">
        <v>6800</v>
      </c>
      <c r="Y298" s="3104" t="s">
        <v>164</v>
      </c>
    </row>
    <row r="299" spans="1:25" ht="17" hidden="1">
      <c r="A299" s="1304"/>
      <c r="B299" s="643"/>
      <c r="C299" s="643" t="s">
        <v>1859</v>
      </c>
      <c r="D299" s="3088">
        <v>3</v>
      </c>
      <c r="E299" s="3089" t="str">
        <f t="shared" si="37"/>
        <v xml:space="preserve">        ----</v>
      </c>
      <c r="F299" s="3090" t="s">
        <v>1860</v>
      </c>
      <c r="G299" s="3091" t="str">
        <f t="shared" si="38"/>
        <v xml:space="preserve">        ----</v>
      </c>
      <c r="H299" s="3092">
        <f t="shared" ca="1" si="39"/>
        <v>0</v>
      </c>
      <c r="I299" s="3094" t="s">
        <v>6803</v>
      </c>
      <c r="J299" s="3073"/>
      <c r="K299" s="3091" t="str">
        <f t="shared" si="45"/>
        <v xml:space="preserve">        ----</v>
      </c>
      <c r="L299" s="3072">
        <f t="shared" ca="1" si="46"/>
        <v>0</v>
      </c>
      <c r="M299" s="3094" t="s">
        <v>6803</v>
      </c>
      <c r="N299" s="3073"/>
      <c r="O299" s="3100"/>
      <c r="P299" s="3101"/>
      <c r="Q299" s="3101"/>
      <c r="R299" s="3101"/>
      <c r="S299" s="3102" t="s">
        <v>295</v>
      </c>
      <c r="T299" s="3102" t="s">
        <v>213</v>
      </c>
      <c r="U299" s="3103"/>
      <c r="V299" s="3103" t="s">
        <v>295</v>
      </c>
      <c r="W299" s="3103" t="s">
        <v>6797</v>
      </c>
      <c r="X299" s="3103" t="s">
        <v>6800</v>
      </c>
      <c r="Y299" s="3104" t="s">
        <v>164</v>
      </c>
    </row>
    <row r="300" spans="1:25" ht="17" hidden="1">
      <c r="A300" s="1304"/>
      <c r="B300" s="643"/>
      <c r="C300" s="643" t="s">
        <v>1863</v>
      </c>
      <c r="D300" s="3088">
        <v>3</v>
      </c>
      <c r="E300" s="3089" t="str">
        <f t="shared" si="37"/>
        <v xml:space="preserve">        ----</v>
      </c>
      <c r="F300" s="3090" t="s">
        <v>1864</v>
      </c>
      <c r="G300" s="3091" t="str">
        <f t="shared" si="38"/>
        <v xml:space="preserve">        ----</v>
      </c>
      <c r="H300" s="3092">
        <f t="shared" ca="1" si="39"/>
        <v>0</v>
      </c>
      <c r="I300" s="3094" t="s">
        <v>6803</v>
      </c>
      <c r="J300" s="3073"/>
      <c r="K300" s="3091" t="str">
        <f t="shared" si="45"/>
        <v xml:space="preserve">        ----</v>
      </c>
      <c r="L300" s="3072">
        <f t="shared" ca="1" si="46"/>
        <v>0</v>
      </c>
      <c r="M300" s="3094" t="s">
        <v>6803</v>
      </c>
      <c r="N300" s="3073"/>
      <c r="O300" s="3100"/>
      <c r="P300" s="3101"/>
      <c r="Q300" s="3101"/>
      <c r="R300" s="3101"/>
      <c r="S300" s="3102" t="s">
        <v>295</v>
      </c>
      <c r="T300" s="3102" t="s">
        <v>213</v>
      </c>
      <c r="U300" s="3103"/>
      <c r="V300" s="3103" t="s">
        <v>295</v>
      </c>
      <c r="W300" s="3103" t="s">
        <v>6797</v>
      </c>
      <c r="X300" s="3103" t="s">
        <v>6800</v>
      </c>
      <c r="Y300" s="3104" t="s">
        <v>164</v>
      </c>
    </row>
    <row r="301" spans="1:25" ht="17" hidden="1">
      <c r="A301" s="1304"/>
      <c r="B301" s="643">
        <v>6001</v>
      </c>
      <c r="C301" s="643" t="s">
        <v>1868</v>
      </c>
      <c r="D301" s="3088">
        <v>2</v>
      </c>
      <c r="E301" s="3089" t="str">
        <f t="shared" si="37"/>
        <v>营业收入</v>
      </c>
      <c r="F301" s="3090" t="s">
        <v>1869</v>
      </c>
      <c r="G301" s="3091">
        <f t="shared" si="38"/>
        <v>0</v>
      </c>
      <c r="H301" s="3092" t="s">
        <v>6799</v>
      </c>
      <c r="I301" s="3094" t="s">
        <v>6803</v>
      </c>
      <c r="J301" s="3073"/>
      <c r="K301" s="3091">
        <f t="shared" si="45"/>
        <v>0</v>
      </c>
      <c r="L301" s="3072" t="s">
        <v>6799</v>
      </c>
      <c r="M301" s="3094" t="s">
        <v>6803</v>
      </c>
      <c r="N301" s="3073"/>
      <c r="O301" s="3100"/>
      <c r="P301" s="3101"/>
      <c r="Q301" s="3101"/>
      <c r="R301" s="3101"/>
      <c r="S301" s="3102" t="s">
        <v>295</v>
      </c>
      <c r="T301" s="3102" t="s">
        <v>213</v>
      </c>
      <c r="U301" s="3103"/>
      <c r="V301" s="3103" t="s">
        <v>295</v>
      </c>
      <c r="W301" s="3103" t="s">
        <v>6797</v>
      </c>
      <c r="X301" s="3103" t="s">
        <v>213</v>
      </c>
      <c r="Y301" s="3104" t="s">
        <v>164</v>
      </c>
    </row>
    <row r="302" spans="1:25" ht="17" hidden="1">
      <c r="A302" s="1304"/>
      <c r="B302" s="643">
        <v>6401</v>
      </c>
      <c r="C302" s="643" t="s">
        <v>1872</v>
      </c>
      <c r="D302" s="3088">
        <v>2</v>
      </c>
      <c r="E302" s="3089" t="str">
        <f t="shared" si="37"/>
        <v>营业成本</v>
      </c>
      <c r="F302" s="3090" t="s">
        <v>1873</v>
      </c>
      <c r="G302" s="3091">
        <f t="shared" si="38"/>
        <v>0</v>
      </c>
      <c r="H302" s="3092" t="s">
        <v>6799</v>
      </c>
      <c r="I302" s="3094" t="s">
        <v>6803</v>
      </c>
      <c r="J302" s="3073"/>
      <c r="K302" s="3091">
        <f t="shared" si="45"/>
        <v>0</v>
      </c>
      <c r="L302" s="3072" t="s">
        <v>6799</v>
      </c>
      <c r="M302" s="3094" t="s">
        <v>6803</v>
      </c>
      <c r="N302" s="3073"/>
      <c r="O302" s="3100"/>
      <c r="P302" s="3101"/>
      <c r="Q302" s="3101"/>
      <c r="R302" s="3101"/>
      <c r="S302" s="3102" t="s">
        <v>295</v>
      </c>
      <c r="T302" s="3102" t="s">
        <v>213</v>
      </c>
      <c r="U302" s="3103"/>
      <c r="V302" s="3103" t="s">
        <v>295</v>
      </c>
      <c r="W302" s="3103" t="s">
        <v>6797</v>
      </c>
      <c r="X302" s="3103" t="s">
        <v>213</v>
      </c>
      <c r="Y302" s="3104" t="s">
        <v>164</v>
      </c>
    </row>
    <row r="303" spans="1:25" ht="17" hidden="1">
      <c r="A303" s="1304"/>
      <c r="B303" s="643">
        <v>6001</v>
      </c>
      <c r="C303" s="643" t="s">
        <v>1840</v>
      </c>
      <c r="D303" s="3088">
        <v>2</v>
      </c>
      <c r="E303" s="3089" t="str">
        <f t="shared" si="37"/>
        <v>营业收入</v>
      </c>
      <c r="F303" s="3090" t="s">
        <v>1841</v>
      </c>
      <c r="G303" s="3091">
        <f t="shared" si="38"/>
        <v>0</v>
      </c>
      <c r="H303" s="3092">
        <f t="shared" ref="H303:H346" ca="1" si="47">INDIRECT("Notes!CheckA"&amp;$C303)</f>
        <v>0</v>
      </c>
      <c r="I303" s="3094" t="s">
        <v>6803</v>
      </c>
      <c r="J303" s="3073"/>
      <c r="K303" s="3091">
        <f t="shared" si="45"/>
        <v>0</v>
      </c>
      <c r="L303" s="3072">
        <f t="shared" ref="L303:L327" ca="1" si="48">INDIRECT("Notes!CheckB"&amp;$C303)</f>
        <v>0</v>
      </c>
      <c r="M303" s="3094" t="s">
        <v>6803</v>
      </c>
      <c r="N303" s="3073"/>
      <c r="O303" s="3100"/>
      <c r="P303" s="3101"/>
      <c r="Q303" s="3101"/>
      <c r="R303" s="3101"/>
      <c r="S303" s="3102" t="s">
        <v>295</v>
      </c>
      <c r="T303" s="3102" t="s">
        <v>213</v>
      </c>
      <c r="U303" s="3103"/>
      <c r="V303" s="3103" t="s">
        <v>295</v>
      </c>
      <c r="W303" s="3103" t="s">
        <v>6797</v>
      </c>
      <c r="X303" s="3103" t="s">
        <v>213</v>
      </c>
      <c r="Y303" s="3104" t="s">
        <v>164</v>
      </c>
    </row>
    <row r="304" spans="1:25" ht="17" hidden="1">
      <c r="A304" s="1304"/>
      <c r="B304" s="643">
        <v>6401</v>
      </c>
      <c r="C304" s="643" t="s">
        <v>1894</v>
      </c>
      <c r="D304" s="3088">
        <v>2</v>
      </c>
      <c r="E304" s="3089" t="str">
        <f t="shared" si="37"/>
        <v>营业成本</v>
      </c>
      <c r="F304" s="3090" t="s">
        <v>1895</v>
      </c>
      <c r="G304" s="3091">
        <f t="shared" si="38"/>
        <v>0</v>
      </c>
      <c r="H304" s="3092">
        <f t="shared" ca="1" si="47"/>
        <v>0</v>
      </c>
      <c r="I304" s="3094" t="s">
        <v>6803</v>
      </c>
      <c r="J304" s="3073"/>
      <c r="K304" s="3091">
        <f t="shared" si="45"/>
        <v>0</v>
      </c>
      <c r="L304" s="3072">
        <f t="shared" ca="1" si="48"/>
        <v>0</v>
      </c>
      <c r="M304" s="3094" t="s">
        <v>6803</v>
      </c>
      <c r="N304" s="3073"/>
      <c r="O304" s="3100"/>
      <c r="P304" s="3101"/>
      <c r="Q304" s="3101"/>
      <c r="R304" s="3101"/>
      <c r="S304" s="3102" t="s">
        <v>295</v>
      </c>
      <c r="T304" s="3102" t="s">
        <v>213</v>
      </c>
      <c r="U304" s="3103"/>
      <c r="V304" s="3103" t="s">
        <v>295</v>
      </c>
      <c r="W304" s="3103" t="s">
        <v>6797</v>
      </c>
      <c r="X304" s="3103" t="s">
        <v>213</v>
      </c>
      <c r="Y304" s="3104" t="s">
        <v>164</v>
      </c>
    </row>
    <row r="305" spans="1:25" ht="17">
      <c r="A305" s="1304"/>
      <c r="B305" s="643">
        <v>6600</v>
      </c>
      <c r="C305" s="643" t="s">
        <v>1897</v>
      </c>
      <c r="D305" s="3088">
        <v>1</v>
      </c>
      <c r="E305" s="3089" t="str">
        <f t="shared" si="37"/>
        <v>税金及附加</v>
      </c>
      <c r="F305" s="3090" t="s">
        <v>1898</v>
      </c>
      <c r="G305" s="3091">
        <f t="shared" si="38"/>
        <v>0</v>
      </c>
      <c r="H305" s="3092">
        <f t="shared" ca="1" si="47"/>
        <v>0</v>
      </c>
      <c r="I305" s="3094">
        <f ca="1">IF(AND(LEN(G305)&gt;0,LEN(H305)&gt;0),ROUND(SUM(G305)-SUM(H305),2),"")</f>
        <v>0</v>
      </c>
      <c r="J305" s="3073" t="str">
        <f ca="1">IF(ISNA(I305),"N/A",IF(I305=0,"√","？"))</f>
        <v>√</v>
      </c>
      <c r="K305" s="3091">
        <f t="shared" si="45"/>
        <v>0</v>
      </c>
      <c r="L305" s="3072">
        <f t="shared" ca="1" si="48"/>
        <v>0</v>
      </c>
      <c r="M305" s="3094">
        <f ca="1">IF(AND(LEN(K305)&gt;0,LEN(L305)&gt;0),ROUND(SUM(K305)-SUM(L305),2),"")</f>
        <v>0</v>
      </c>
      <c r="N305" s="3073" t="str">
        <f ca="1">IF(ISNA(M305),"N/A",IF(M305=0,"√","？"))</f>
        <v>√</v>
      </c>
      <c r="O305" s="3100"/>
      <c r="P305" s="3101"/>
      <c r="Q305" s="3101"/>
      <c r="R305" s="3101"/>
      <c r="S305" s="3102" t="s">
        <v>295</v>
      </c>
      <c r="T305" s="3102" t="s">
        <v>213</v>
      </c>
      <c r="U305" s="3103"/>
      <c r="V305" s="3103" t="s">
        <v>295</v>
      </c>
      <c r="W305" s="3103" t="s">
        <v>6797</v>
      </c>
      <c r="X305" s="3103" t="s">
        <v>6798</v>
      </c>
      <c r="Y305" s="3104" t="s">
        <v>164</v>
      </c>
    </row>
    <row r="306" spans="1:25" ht="17" hidden="1">
      <c r="A306" s="1304"/>
      <c r="B306" s="643">
        <v>6600</v>
      </c>
      <c r="C306" s="643" t="s">
        <v>1901</v>
      </c>
      <c r="D306" s="3088">
        <v>2</v>
      </c>
      <c r="E306" s="3089" t="str">
        <f t="shared" si="37"/>
        <v>税金及附加</v>
      </c>
      <c r="F306" s="3090" t="s">
        <v>1902</v>
      </c>
      <c r="G306" s="3091">
        <f t="shared" si="38"/>
        <v>0</v>
      </c>
      <c r="H306" s="3092">
        <f t="shared" ca="1" si="47"/>
        <v>0</v>
      </c>
      <c r="I306" s="3094" t="s">
        <v>6803</v>
      </c>
      <c r="J306" s="3073"/>
      <c r="K306" s="3091">
        <f t="shared" si="45"/>
        <v>0</v>
      </c>
      <c r="L306" s="3072">
        <f t="shared" ca="1" si="48"/>
        <v>0</v>
      </c>
      <c r="M306" s="3094" t="s">
        <v>6803</v>
      </c>
      <c r="N306" s="3073"/>
      <c r="O306" s="3100"/>
      <c r="P306" s="3101"/>
      <c r="Q306" s="3101"/>
      <c r="R306" s="3101"/>
      <c r="S306" s="3102" t="s">
        <v>295</v>
      </c>
      <c r="T306" s="3102" t="s">
        <v>213</v>
      </c>
      <c r="U306" s="3103"/>
      <c r="V306" s="3103" t="s">
        <v>295</v>
      </c>
      <c r="W306" s="3103" t="s">
        <v>6797</v>
      </c>
      <c r="X306" s="3103" t="s">
        <v>213</v>
      </c>
      <c r="Y306" s="3104" t="s">
        <v>164</v>
      </c>
    </row>
    <row r="307" spans="1:25" ht="17">
      <c r="A307" s="1304"/>
      <c r="B307" s="643">
        <v>6601</v>
      </c>
      <c r="C307" s="643" t="s">
        <v>1905</v>
      </c>
      <c r="D307" s="3088">
        <v>1</v>
      </c>
      <c r="E307" s="3089" t="str">
        <f t="shared" si="37"/>
        <v>销售费用</v>
      </c>
      <c r="F307" s="3090" t="s">
        <v>1906</v>
      </c>
      <c r="G307" s="3091">
        <f t="shared" si="38"/>
        <v>0</v>
      </c>
      <c r="H307" s="3092">
        <f t="shared" ca="1" si="47"/>
        <v>0</v>
      </c>
      <c r="I307" s="3094">
        <f ca="1">IF(AND(LEN(G307)&gt;0,LEN(H307)&gt;0),ROUND(SUM(G307)-SUM(H307),2),"")</f>
        <v>0</v>
      </c>
      <c r="J307" s="3073" t="str">
        <f ca="1">IF(ISNA(I307),"N/A",IF(I307=0,"√","？"))</f>
        <v>√</v>
      </c>
      <c r="K307" s="3091">
        <f t="shared" si="45"/>
        <v>0</v>
      </c>
      <c r="L307" s="3072">
        <f t="shared" ca="1" si="48"/>
        <v>0</v>
      </c>
      <c r="M307" s="3094">
        <f ca="1">IF(AND(LEN(K307)&gt;0,LEN(L307)&gt;0),ROUND(SUM(K307)-SUM(L307),2),"")</f>
        <v>0</v>
      </c>
      <c r="N307" s="3073" t="str">
        <f ca="1">IF(ISNA(M307),"N/A",IF(M307=0,"√","？"))</f>
        <v>√</v>
      </c>
      <c r="O307" s="3100"/>
      <c r="P307" s="3101"/>
      <c r="Q307" s="3101"/>
      <c r="R307" s="3101"/>
      <c r="S307" s="3102" t="s">
        <v>295</v>
      </c>
      <c r="T307" s="3102" t="s">
        <v>213</v>
      </c>
      <c r="U307" s="3103"/>
      <c r="V307" s="3103" t="s">
        <v>295</v>
      </c>
      <c r="W307" s="3103" t="s">
        <v>6797</v>
      </c>
      <c r="X307" s="3103" t="s">
        <v>6798</v>
      </c>
      <c r="Y307" s="3104" t="s">
        <v>164</v>
      </c>
    </row>
    <row r="308" spans="1:25" ht="17" hidden="1">
      <c r="A308" s="1304"/>
      <c r="B308" s="643">
        <v>6601</v>
      </c>
      <c r="C308" s="643" t="s">
        <v>1910</v>
      </c>
      <c r="D308" s="3088">
        <v>2</v>
      </c>
      <c r="E308" s="3089" t="str">
        <f t="shared" si="37"/>
        <v>销售费用</v>
      </c>
      <c r="F308" s="3090" t="s">
        <v>1911</v>
      </c>
      <c r="G308" s="3091">
        <f t="shared" si="38"/>
        <v>0</v>
      </c>
      <c r="H308" s="3092">
        <f t="shared" ca="1" si="47"/>
        <v>0</v>
      </c>
      <c r="I308" s="3094" t="s">
        <v>6803</v>
      </c>
      <c r="J308" s="3073"/>
      <c r="K308" s="3091">
        <f t="shared" si="45"/>
        <v>0</v>
      </c>
      <c r="L308" s="3072">
        <f t="shared" ca="1" si="48"/>
        <v>580</v>
      </c>
      <c r="M308" s="3094" t="s">
        <v>6803</v>
      </c>
      <c r="N308" s="3073"/>
      <c r="O308" s="3100"/>
      <c r="P308" s="3101"/>
      <c r="Q308" s="3101"/>
      <c r="R308" s="3101"/>
      <c r="S308" s="3102" t="s">
        <v>295</v>
      </c>
      <c r="T308" s="3102" t="s">
        <v>213</v>
      </c>
      <c r="U308" s="3103"/>
      <c r="V308" s="3103" t="s">
        <v>295</v>
      </c>
      <c r="W308" s="3103" t="s">
        <v>6797</v>
      </c>
      <c r="X308" s="3103" t="s">
        <v>213</v>
      </c>
      <c r="Y308" s="3104" t="s">
        <v>164</v>
      </c>
    </row>
    <row r="309" spans="1:25" ht="17">
      <c r="A309" s="1304"/>
      <c r="B309" s="643">
        <v>6602</v>
      </c>
      <c r="C309" s="643" t="s">
        <v>1913</v>
      </c>
      <c r="D309" s="3088">
        <v>1</v>
      </c>
      <c r="E309" s="3089" t="str">
        <f t="shared" si="37"/>
        <v>管理费用</v>
      </c>
      <c r="F309" s="3090" t="s">
        <v>1914</v>
      </c>
      <c r="G309" s="3091">
        <f t="shared" si="38"/>
        <v>1000</v>
      </c>
      <c r="H309" s="3092">
        <f t="shared" ca="1" si="47"/>
        <v>1000</v>
      </c>
      <c r="I309" s="3094">
        <f ca="1">IF(AND(LEN(G309)&gt;0,LEN(H309)&gt;0),ROUND(SUM(G309)-SUM(H309),2),"")</f>
        <v>0</v>
      </c>
      <c r="J309" s="3073" t="str">
        <f ca="1">IF(ISNA(I309),"N/A",IF(I309=0,"√","？"))</f>
        <v>√</v>
      </c>
      <c r="K309" s="3091">
        <f t="shared" si="45"/>
        <v>580</v>
      </c>
      <c r="L309" s="3072">
        <f t="shared" ca="1" si="48"/>
        <v>580</v>
      </c>
      <c r="M309" s="3094">
        <f ca="1">IF(AND(LEN(K309)&gt;0,LEN(L309)&gt;0),ROUND(SUM(K309)-SUM(L309),2),"")</f>
        <v>0</v>
      </c>
      <c r="N309" s="3073" t="str">
        <f ca="1">IF(ISNA(M309),"N/A",IF(M309=0,"√","？"))</f>
        <v>√</v>
      </c>
      <c r="O309" s="3100"/>
      <c r="P309" s="3101"/>
      <c r="Q309" s="3101"/>
      <c r="R309" s="3101"/>
      <c r="S309" s="3102" t="s">
        <v>295</v>
      </c>
      <c r="T309" s="3102" t="s">
        <v>213</v>
      </c>
      <c r="U309" s="3103"/>
      <c r="V309" s="3103" t="s">
        <v>295</v>
      </c>
      <c r="W309" s="3103" t="s">
        <v>6797</v>
      </c>
      <c r="X309" s="3103" t="s">
        <v>6798</v>
      </c>
      <c r="Y309" s="3104" t="s">
        <v>164</v>
      </c>
    </row>
    <row r="310" spans="1:25" ht="17" hidden="1">
      <c r="A310" s="1304"/>
      <c r="B310" s="643">
        <v>6602</v>
      </c>
      <c r="C310" s="643" t="s">
        <v>1916</v>
      </c>
      <c r="D310" s="3088">
        <v>2</v>
      </c>
      <c r="E310" s="3089" t="str">
        <f t="shared" si="37"/>
        <v>管理费用</v>
      </c>
      <c r="F310" s="3090" t="s">
        <v>1917</v>
      </c>
      <c r="G310" s="3091">
        <f t="shared" si="38"/>
        <v>1000</v>
      </c>
      <c r="H310" s="3092">
        <f t="shared" ca="1" si="47"/>
        <v>0</v>
      </c>
      <c r="I310" s="3094" t="s">
        <v>6803</v>
      </c>
      <c r="J310" s="3073"/>
      <c r="K310" s="3091">
        <f t="shared" si="45"/>
        <v>580</v>
      </c>
      <c r="L310" s="3072">
        <f t="shared" ca="1" si="48"/>
        <v>0</v>
      </c>
      <c r="M310" s="3094" t="s">
        <v>6803</v>
      </c>
      <c r="N310" s="3073"/>
      <c r="O310" s="3100"/>
      <c r="P310" s="3101"/>
      <c r="Q310" s="3101"/>
      <c r="R310" s="3101"/>
      <c r="S310" s="3102" t="s">
        <v>295</v>
      </c>
      <c r="T310" s="3102" t="s">
        <v>213</v>
      </c>
      <c r="U310" s="3103"/>
      <c r="V310" s="3103" t="s">
        <v>295</v>
      </c>
      <c r="W310" s="3103" t="s">
        <v>6797</v>
      </c>
      <c r="X310" s="3103" t="s">
        <v>213</v>
      </c>
      <c r="Y310" s="3104" t="s">
        <v>164</v>
      </c>
    </row>
    <row r="311" spans="1:25" ht="17" hidden="1">
      <c r="A311" s="1304"/>
      <c r="B311" s="643">
        <v>6606</v>
      </c>
      <c r="C311" s="643" t="s">
        <v>6170</v>
      </c>
      <c r="D311" s="3088">
        <v>2</v>
      </c>
      <c r="E311" s="3089" t="str">
        <f t="shared" si="37"/>
        <v>研发费用</v>
      </c>
      <c r="F311" s="3090" t="s">
        <v>6171</v>
      </c>
      <c r="G311" s="3091">
        <f t="shared" si="38"/>
        <v>0</v>
      </c>
      <c r="H311" s="3092">
        <f t="shared" ca="1" si="47"/>
        <v>0</v>
      </c>
      <c r="I311" s="3094" t="s">
        <v>6803</v>
      </c>
      <c r="J311" s="3073"/>
      <c r="K311" s="3091">
        <f t="shared" si="45"/>
        <v>0</v>
      </c>
      <c r="L311" s="3072">
        <f t="shared" ca="1" si="48"/>
        <v>0</v>
      </c>
      <c r="M311" s="3094" t="s">
        <v>6803</v>
      </c>
      <c r="N311" s="3073"/>
      <c r="O311" s="3100"/>
      <c r="P311" s="3101"/>
      <c r="Q311" s="3101"/>
      <c r="R311" s="3101"/>
      <c r="S311" s="3102" t="s">
        <v>295</v>
      </c>
      <c r="T311" s="3102" t="s">
        <v>213</v>
      </c>
      <c r="U311" s="3103"/>
      <c r="V311" s="3103" t="s">
        <v>295</v>
      </c>
      <c r="W311" s="3103" t="s">
        <v>6797</v>
      </c>
      <c r="X311" s="3103" t="s">
        <v>213</v>
      </c>
      <c r="Y311" s="3104" t="s">
        <v>164</v>
      </c>
    </row>
    <row r="312" spans="1:25" ht="17">
      <c r="A312" s="1304"/>
      <c r="B312" s="643">
        <v>6606</v>
      </c>
      <c r="C312" s="643" t="s">
        <v>1924</v>
      </c>
      <c r="D312" s="3088">
        <v>1</v>
      </c>
      <c r="E312" s="3089" t="str">
        <f t="shared" si="37"/>
        <v>研发费用</v>
      </c>
      <c r="F312" s="3090" t="s">
        <v>1925</v>
      </c>
      <c r="G312" s="3091">
        <f t="shared" si="38"/>
        <v>0</v>
      </c>
      <c r="H312" s="3092">
        <f t="shared" ca="1" si="47"/>
        <v>0</v>
      </c>
      <c r="I312" s="3094">
        <f ca="1">IF(AND(LEN(G312)&gt;0,LEN(H312)&gt;0),ROUND(SUM(G312)-SUM(H312),2),"")</f>
        <v>0</v>
      </c>
      <c r="J312" s="3073" t="str">
        <f ca="1">IF(ISNA(I312),"N/A",IF(I312=0,"√","？"))</f>
        <v>√</v>
      </c>
      <c r="K312" s="3091">
        <f t="shared" si="45"/>
        <v>0</v>
      </c>
      <c r="L312" s="3072">
        <f t="shared" ca="1" si="48"/>
        <v>0</v>
      </c>
      <c r="M312" s="3094">
        <f ca="1">IF(AND(LEN(K312)&gt;0,LEN(L312)&gt;0),ROUND(SUM(K312)-SUM(L312),2),"")</f>
        <v>0</v>
      </c>
      <c r="N312" s="3073" t="str">
        <f ca="1">IF(ISNA(M312),"N/A",IF(M312=0,"√","？"))</f>
        <v>√</v>
      </c>
      <c r="O312" s="3100"/>
      <c r="P312" s="3101"/>
      <c r="Q312" s="3101"/>
      <c r="R312" s="3101"/>
      <c r="S312" s="3102" t="s">
        <v>295</v>
      </c>
      <c r="T312" s="3102" t="s">
        <v>213</v>
      </c>
      <c r="U312" s="3103"/>
      <c r="V312" s="3103" t="s">
        <v>295</v>
      </c>
      <c r="W312" s="3103" t="s">
        <v>6797</v>
      </c>
      <c r="X312" s="3103" t="s">
        <v>6798</v>
      </c>
      <c r="Y312" s="3104" t="s">
        <v>164</v>
      </c>
    </row>
    <row r="313" spans="1:25" ht="17">
      <c r="A313" s="1304"/>
      <c r="B313" s="643">
        <v>6603</v>
      </c>
      <c r="C313" s="643" t="s">
        <v>1919</v>
      </c>
      <c r="D313" s="3088">
        <v>1</v>
      </c>
      <c r="E313" s="3089" t="str">
        <f t="shared" si="37"/>
        <v>财务费用</v>
      </c>
      <c r="F313" s="3090" t="s">
        <v>1920</v>
      </c>
      <c r="G313" s="3091">
        <f t="shared" si="38"/>
        <v>1324.91</v>
      </c>
      <c r="H313" s="3092">
        <f t="shared" ca="1" si="47"/>
        <v>1324.91</v>
      </c>
      <c r="I313" s="3094">
        <f ca="1">IF(AND(LEN(G313)&gt;0,LEN(H313)&gt;0),ROUND(SUM(G313)-SUM(H313),2),"")</f>
        <v>0</v>
      </c>
      <c r="J313" s="3073" t="str">
        <f ca="1">IF(ISNA(I313),"N/A",IF(I313=0,"√","？"))</f>
        <v>√</v>
      </c>
      <c r="K313" s="3091">
        <f t="shared" si="45"/>
        <v>1134.32</v>
      </c>
      <c r="L313" s="3072">
        <f t="shared" ca="1" si="48"/>
        <v>1134.32</v>
      </c>
      <c r="M313" s="3094">
        <f ca="1">IF(AND(LEN(K313)&gt;0,LEN(L313)&gt;0),ROUND(SUM(K313)-SUM(L313),2),"")</f>
        <v>0</v>
      </c>
      <c r="N313" s="3073" t="str">
        <f ca="1">IF(ISNA(M313),"N/A",IF(M313=0,"√","？"))</f>
        <v>√</v>
      </c>
      <c r="O313" s="3100"/>
      <c r="P313" s="3101"/>
      <c r="Q313" s="3101"/>
      <c r="R313" s="3101"/>
      <c r="S313" s="3102" t="s">
        <v>295</v>
      </c>
      <c r="T313" s="3102" t="s">
        <v>213</v>
      </c>
      <c r="U313" s="3103"/>
      <c r="V313" s="3103" t="s">
        <v>295</v>
      </c>
      <c r="W313" s="3103" t="s">
        <v>6797</v>
      </c>
      <c r="X313" s="3103" t="s">
        <v>6798</v>
      </c>
      <c r="Y313" s="3104" t="s">
        <v>164</v>
      </c>
    </row>
    <row r="314" spans="1:25" ht="17" hidden="1">
      <c r="A314" s="1304"/>
      <c r="B314" s="643">
        <v>6603</v>
      </c>
      <c r="C314" s="643" t="s">
        <v>1922</v>
      </c>
      <c r="D314" s="3088">
        <v>2</v>
      </c>
      <c r="E314" s="3089" t="str">
        <f t="shared" si="37"/>
        <v>财务费用</v>
      </c>
      <c r="F314" s="3090" t="s">
        <v>1923</v>
      </c>
      <c r="G314" s="3091">
        <f t="shared" si="38"/>
        <v>1324.91</v>
      </c>
      <c r="H314" s="3092">
        <f t="shared" ca="1" si="47"/>
        <v>0</v>
      </c>
      <c r="I314" s="3094" t="s">
        <v>6803</v>
      </c>
      <c r="J314" s="3073"/>
      <c r="K314" s="3091">
        <f t="shared" si="45"/>
        <v>1134.32</v>
      </c>
      <c r="L314" s="3072">
        <f t="shared" ca="1" si="48"/>
        <v>0</v>
      </c>
      <c r="M314" s="3094" t="s">
        <v>6803</v>
      </c>
      <c r="N314" s="3073"/>
      <c r="O314" s="3100"/>
      <c r="P314" s="3101"/>
      <c r="Q314" s="3101"/>
      <c r="R314" s="3101"/>
      <c r="S314" s="3102" t="s">
        <v>295</v>
      </c>
      <c r="T314" s="3102" t="s">
        <v>213</v>
      </c>
      <c r="U314" s="3103"/>
      <c r="V314" s="3103" t="s">
        <v>295</v>
      </c>
      <c r="W314" s="3103" t="s">
        <v>6797</v>
      </c>
      <c r="X314" s="3103" t="s">
        <v>213</v>
      </c>
      <c r="Y314" s="3104" t="s">
        <v>164</v>
      </c>
    </row>
    <row r="315" spans="1:25" ht="17">
      <c r="A315" s="1304"/>
      <c r="B315" s="643">
        <v>6181</v>
      </c>
      <c r="C315" s="643" t="s">
        <v>1891</v>
      </c>
      <c r="D315" s="3088">
        <v>1</v>
      </c>
      <c r="E315" s="3089" t="str">
        <f t="shared" si="37"/>
        <v>其他收益</v>
      </c>
      <c r="F315" s="3090" t="s">
        <v>1892</v>
      </c>
      <c r="G315" s="3091">
        <f t="shared" si="38"/>
        <v>0</v>
      </c>
      <c r="H315" s="3092">
        <f t="shared" ca="1" si="47"/>
        <v>0</v>
      </c>
      <c r="I315" s="3094">
        <f t="shared" ref="I315:I322" ca="1" si="49">IF(AND(LEN(G315)&gt;0,LEN(H315)&gt;0),ROUND(SUM(G315)-SUM(H315),2),"")</f>
        <v>0</v>
      </c>
      <c r="J315" s="3073" t="str">
        <f t="shared" ref="J315:J322" ca="1" si="50">IF(ISNA(I315),"N/A",IF(I315=0,"√","？"))</f>
        <v>√</v>
      </c>
      <c r="K315" s="3091">
        <f t="shared" si="45"/>
        <v>0</v>
      </c>
      <c r="L315" s="3072">
        <f t="shared" ca="1" si="48"/>
        <v>0</v>
      </c>
      <c r="M315" s="3094">
        <f t="shared" ref="M315:M322" ca="1" si="51">IF(AND(LEN(K315)&gt;0,LEN(L315)&gt;0),ROUND(SUM(K315)-SUM(L315),2),"")</f>
        <v>0</v>
      </c>
      <c r="N315" s="3073" t="str">
        <f t="shared" ref="N315:N322" ca="1" si="52">IF(ISNA(M315),"N/A",IF(M315=0,"√","？"))</f>
        <v>√</v>
      </c>
      <c r="O315" s="3100"/>
      <c r="P315" s="3101"/>
      <c r="Q315" s="3101"/>
      <c r="R315" s="3101"/>
      <c r="S315" s="3102" t="s">
        <v>295</v>
      </c>
      <c r="T315" s="3102" t="s">
        <v>213</v>
      </c>
      <c r="U315" s="3103"/>
      <c r="V315" s="3103" t="s">
        <v>295</v>
      </c>
      <c r="W315" s="3103" t="s">
        <v>6797</v>
      </c>
      <c r="X315" s="3103" t="s">
        <v>6798</v>
      </c>
      <c r="Y315" s="3104" t="s">
        <v>164</v>
      </c>
    </row>
    <row r="316" spans="1:25" ht="17">
      <c r="A316" s="1304"/>
      <c r="B316" s="643">
        <v>6111</v>
      </c>
      <c r="C316" s="643" t="s">
        <v>1885</v>
      </c>
      <c r="D316" s="3088">
        <v>1</v>
      </c>
      <c r="E316" s="3089" t="str">
        <f t="shared" si="37"/>
        <v>投资收益</v>
      </c>
      <c r="F316" s="3090" t="s">
        <v>6459</v>
      </c>
      <c r="G316" s="3091">
        <f t="shared" si="38"/>
        <v>0</v>
      </c>
      <c r="H316" s="3092">
        <f t="shared" ca="1" si="47"/>
        <v>0</v>
      </c>
      <c r="I316" s="3094">
        <f t="shared" ca="1" si="49"/>
        <v>0</v>
      </c>
      <c r="J316" s="3073" t="str">
        <f t="shared" ca="1" si="50"/>
        <v>√</v>
      </c>
      <c r="K316" s="3091">
        <f t="shared" si="45"/>
        <v>0</v>
      </c>
      <c r="L316" s="3072">
        <f t="shared" ca="1" si="48"/>
        <v>0</v>
      </c>
      <c r="M316" s="3094">
        <f t="shared" ca="1" si="51"/>
        <v>0</v>
      </c>
      <c r="N316" s="3073" t="str">
        <f t="shared" ca="1" si="52"/>
        <v>√</v>
      </c>
      <c r="O316" s="3100"/>
      <c r="P316" s="3101"/>
      <c r="Q316" s="3101"/>
      <c r="R316" s="3101"/>
      <c r="S316" s="3102" t="s">
        <v>295</v>
      </c>
      <c r="T316" s="3102" t="s">
        <v>213</v>
      </c>
      <c r="U316" s="3103"/>
      <c r="V316" s="3103" t="s">
        <v>295</v>
      </c>
      <c r="W316" s="3103" t="s">
        <v>6797</v>
      </c>
      <c r="X316" s="3103" t="s">
        <v>6798</v>
      </c>
      <c r="Y316" s="3104" t="s">
        <v>164</v>
      </c>
    </row>
    <row r="317" spans="1:25" ht="26">
      <c r="A317" s="1304"/>
      <c r="B317" s="643">
        <v>6102</v>
      </c>
      <c r="C317" s="643" t="s">
        <v>1882</v>
      </c>
      <c r="D317" s="3088">
        <v>1</v>
      </c>
      <c r="E317" s="3089" t="str">
        <f t="shared" si="37"/>
        <v>净敞口套期收益</v>
      </c>
      <c r="F317" s="3090" t="s">
        <v>1883</v>
      </c>
      <c r="G317" s="3091">
        <f t="shared" si="38"/>
        <v>0</v>
      </c>
      <c r="H317" s="3092">
        <f t="shared" ca="1" si="47"/>
        <v>0</v>
      </c>
      <c r="I317" s="3094">
        <f t="shared" ca="1" si="49"/>
        <v>0</v>
      </c>
      <c r="J317" s="3073" t="str">
        <f t="shared" ca="1" si="50"/>
        <v>√</v>
      </c>
      <c r="K317" s="3091">
        <f t="shared" si="45"/>
        <v>0</v>
      </c>
      <c r="L317" s="3072">
        <f t="shared" ca="1" si="48"/>
        <v>0</v>
      </c>
      <c r="M317" s="3094">
        <f t="shared" ca="1" si="51"/>
        <v>0</v>
      </c>
      <c r="N317" s="3073" t="str">
        <f t="shared" ca="1" si="52"/>
        <v>√</v>
      </c>
      <c r="O317" s="3100"/>
      <c r="P317" s="3101"/>
      <c r="Q317" s="3101"/>
      <c r="R317" s="3101"/>
      <c r="S317" s="3102" t="s">
        <v>295</v>
      </c>
      <c r="T317" s="3102" t="s">
        <v>213</v>
      </c>
      <c r="U317" s="3103"/>
      <c r="V317" s="3103" t="s">
        <v>295</v>
      </c>
      <c r="W317" s="3103" t="s">
        <v>145</v>
      </c>
      <c r="X317" s="3103" t="s">
        <v>6800</v>
      </c>
      <c r="Y317" s="3104" t="s">
        <v>119</v>
      </c>
    </row>
    <row r="318" spans="1:25" ht="26">
      <c r="A318" s="1304"/>
      <c r="B318" s="643">
        <v>6101</v>
      </c>
      <c r="C318" s="643" t="s">
        <v>6092</v>
      </c>
      <c r="D318" s="3088">
        <v>1</v>
      </c>
      <c r="E318" s="3089" t="str">
        <f t="shared" si="37"/>
        <v>公允价值变动收益</v>
      </c>
      <c r="F318" s="3090" t="s">
        <v>6093</v>
      </c>
      <c r="G318" s="3091">
        <f t="shared" si="38"/>
        <v>0</v>
      </c>
      <c r="H318" s="3092">
        <f t="shared" ca="1" si="47"/>
        <v>0</v>
      </c>
      <c r="I318" s="3094">
        <f t="shared" ca="1" si="49"/>
        <v>0</v>
      </c>
      <c r="J318" s="3073" t="str">
        <f t="shared" ca="1" si="50"/>
        <v>√</v>
      </c>
      <c r="K318" s="3091">
        <f t="shared" si="45"/>
        <v>0</v>
      </c>
      <c r="L318" s="3072">
        <f t="shared" ca="1" si="48"/>
        <v>0</v>
      </c>
      <c r="M318" s="3094">
        <f t="shared" ca="1" si="51"/>
        <v>0</v>
      </c>
      <c r="N318" s="3073" t="str">
        <f t="shared" ca="1" si="52"/>
        <v>√</v>
      </c>
      <c r="O318" s="3100"/>
      <c r="P318" s="3101"/>
      <c r="Q318" s="3101"/>
      <c r="R318" s="3101"/>
      <c r="S318" s="3102" t="s">
        <v>295</v>
      </c>
      <c r="T318" s="3102" t="s">
        <v>213</v>
      </c>
      <c r="U318" s="3103"/>
      <c r="V318" s="3103" t="s">
        <v>295</v>
      </c>
      <c r="W318" s="3103" t="s">
        <v>145</v>
      </c>
      <c r="X318" s="3103" t="s">
        <v>6800</v>
      </c>
      <c r="Y318" s="3104" t="s">
        <v>119</v>
      </c>
    </row>
    <row r="319" spans="1:25" ht="17">
      <c r="A319" s="1304"/>
      <c r="B319" s="643">
        <v>6672</v>
      </c>
      <c r="C319" s="643" t="s">
        <v>1930</v>
      </c>
      <c r="D319" s="3088">
        <v>1</v>
      </c>
      <c r="E319" s="3089" t="str">
        <f t="shared" si="37"/>
        <v>信用减值损失</v>
      </c>
      <c r="F319" s="3090" t="s">
        <v>1931</v>
      </c>
      <c r="G319" s="3091">
        <f t="shared" si="38"/>
        <v>0</v>
      </c>
      <c r="H319" s="3092">
        <f t="shared" ca="1" si="47"/>
        <v>0</v>
      </c>
      <c r="I319" s="3094">
        <f t="shared" ca="1" si="49"/>
        <v>0</v>
      </c>
      <c r="J319" s="3073" t="str">
        <f t="shared" ca="1" si="50"/>
        <v>√</v>
      </c>
      <c r="K319" s="3091">
        <f t="shared" si="45"/>
        <v>0</v>
      </c>
      <c r="L319" s="3072">
        <f t="shared" ca="1" si="48"/>
        <v>0</v>
      </c>
      <c r="M319" s="3094">
        <f t="shared" ca="1" si="51"/>
        <v>0</v>
      </c>
      <c r="N319" s="3073" t="str">
        <f t="shared" ca="1" si="52"/>
        <v>√</v>
      </c>
      <c r="O319" s="3100"/>
      <c r="P319" s="3101"/>
      <c r="Q319" s="3101"/>
      <c r="R319" s="3101"/>
      <c r="S319" s="3102" t="s">
        <v>295</v>
      </c>
      <c r="T319" s="3102" t="s">
        <v>213</v>
      </c>
      <c r="U319" s="3103"/>
      <c r="V319" s="3103" t="s">
        <v>295</v>
      </c>
      <c r="W319" s="3103" t="s">
        <v>145</v>
      </c>
      <c r="X319" s="3103" t="s">
        <v>6800</v>
      </c>
      <c r="Y319" s="3104" t="s">
        <v>119</v>
      </c>
    </row>
    <row r="320" spans="1:25" ht="17">
      <c r="A320" s="1304"/>
      <c r="B320" s="643">
        <v>6671</v>
      </c>
      <c r="C320" s="643" t="s">
        <v>1927</v>
      </c>
      <c r="D320" s="3088">
        <v>1</v>
      </c>
      <c r="E320" s="3089" t="str">
        <f t="shared" si="37"/>
        <v>资产减值损失</v>
      </c>
      <c r="F320" s="3090" t="s">
        <v>1928</v>
      </c>
      <c r="G320" s="3091">
        <f t="shared" si="38"/>
        <v>0</v>
      </c>
      <c r="H320" s="3092">
        <f t="shared" ca="1" si="47"/>
        <v>0</v>
      </c>
      <c r="I320" s="3094">
        <f t="shared" ca="1" si="49"/>
        <v>0</v>
      </c>
      <c r="J320" s="3073" t="str">
        <f t="shared" ca="1" si="50"/>
        <v>√</v>
      </c>
      <c r="K320" s="3091">
        <f t="shared" si="45"/>
        <v>0</v>
      </c>
      <c r="L320" s="3072">
        <f t="shared" ca="1" si="48"/>
        <v>0</v>
      </c>
      <c r="M320" s="3094">
        <f t="shared" ca="1" si="51"/>
        <v>0</v>
      </c>
      <c r="N320" s="3073" t="str">
        <f t="shared" ca="1" si="52"/>
        <v>√</v>
      </c>
      <c r="O320" s="3100"/>
      <c r="P320" s="3101"/>
      <c r="Q320" s="3101"/>
      <c r="R320" s="3101"/>
      <c r="S320" s="3102" t="s">
        <v>295</v>
      </c>
      <c r="T320" s="3102" t="s">
        <v>213</v>
      </c>
      <c r="U320" s="3103"/>
      <c r="V320" s="3103" t="s">
        <v>295</v>
      </c>
      <c r="W320" s="3103" t="s">
        <v>6797</v>
      </c>
      <c r="X320" s="3103" t="s">
        <v>6798</v>
      </c>
      <c r="Y320" s="3104" t="s">
        <v>164</v>
      </c>
    </row>
    <row r="321" spans="1:25" ht="17">
      <c r="A321" s="1304"/>
      <c r="B321" s="643">
        <v>6171</v>
      </c>
      <c r="C321" s="643" t="s">
        <v>1888</v>
      </c>
      <c r="D321" s="3088">
        <v>1</v>
      </c>
      <c r="E321" s="3089" t="str">
        <f t="shared" si="37"/>
        <v>资产处置收益</v>
      </c>
      <c r="F321" s="3090" t="s">
        <v>1889</v>
      </c>
      <c r="G321" s="3091">
        <f t="shared" si="38"/>
        <v>0</v>
      </c>
      <c r="H321" s="3092">
        <f t="shared" ca="1" si="47"/>
        <v>0</v>
      </c>
      <c r="I321" s="3094">
        <f t="shared" ca="1" si="49"/>
        <v>0</v>
      </c>
      <c r="J321" s="3073" t="str">
        <f t="shared" ca="1" si="50"/>
        <v>√</v>
      </c>
      <c r="K321" s="3091">
        <f t="shared" si="45"/>
        <v>0</v>
      </c>
      <c r="L321" s="3072">
        <f t="shared" ca="1" si="48"/>
        <v>0</v>
      </c>
      <c r="M321" s="3094">
        <f t="shared" ca="1" si="51"/>
        <v>0</v>
      </c>
      <c r="N321" s="3073" t="str">
        <f t="shared" ca="1" si="52"/>
        <v>√</v>
      </c>
      <c r="O321" s="3100"/>
      <c r="P321" s="3101"/>
      <c r="Q321" s="3101"/>
      <c r="R321" s="3101"/>
      <c r="S321" s="3102" t="s">
        <v>295</v>
      </c>
      <c r="T321" s="3102" t="s">
        <v>213</v>
      </c>
      <c r="U321" s="3103"/>
      <c r="V321" s="3103" t="s">
        <v>295</v>
      </c>
      <c r="W321" s="3103" t="s">
        <v>6797</v>
      </c>
      <c r="X321" s="3103" t="s">
        <v>6798</v>
      </c>
      <c r="Y321" s="3104" t="s">
        <v>164</v>
      </c>
    </row>
    <row r="322" spans="1:25" ht="17">
      <c r="A322" s="1304"/>
      <c r="B322" s="643">
        <v>6710</v>
      </c>
      <c r="C322" s="643" t="s">
        <v>1933</v>
      </c>
      <c r="D322" s="3088">
        <v>1</v>
      </c>
      <c r="E322" s="3089" t="str">
        <f t="shared" si="37"/>
        <v>营业外收入</v>
      </c>
      <c r="F322" s="3090" t="s">
        <v>1934</v>
      </c>
      <c r="G322" s="3091">
        <f t="shared" si="38"/>
        <v>0</v>
      </c>
      <c r="H322" s="3092">
        <f t="shared" ca="1" si="47"/>
        <v>0</v>
      </c>
      <c r="I322" s="3094">
        <f t="shared" ca="1" si="49"/>
        <v>0</v>
      </c>
      <c r="J322" s="3073" t="str">
        <f t="shared" ca="1" si="50"/>
        <v>√</v>
      </c>
      <c r="K322" s="3091">
        <f t="shared" si="45"/>
        <v>0</v>
      </c>
      <c r="L322" s="3072">
        <f t="shared" ca="1" si="48"/>
        <v>0</v>
      </c>
      <c r="M322" s="3094">
        <f t="shared" ca="1" si="51"/>
        <v>0</v>
      </c>
      <c r="N322" s="3073" t="str">
        <f t="shared" ca="1" si="52"/>
        <v>√</v>
      </c>
      <c r="O322" s="3100"/>
      <c r="P322" s="3101"/>
      <c r="Q322" s="3101"/>
      <c r="R322" s="3101"/>
      <c r="S322" s="3102" t="s">
        <v>295</v>
      </c>
      <c r="T322" s="3102" t="s">
        <v>213</v>
      </c>
      <c r="U322" s="3103"/>
      <c r="V322" s="3103" t="s">
        <v>295</v>
      </c>
      <c r="W322" s="3103" t="s">
        <v>6797</v>
      </c>
      <c r="X322" s="3103" t="s">
        <v>6798</v>
      </c>
      <c r="Y322" s="3104" t="s">
        <v>164</v>
      </c>
    </row>
    <row r="323" spans="1:25" ht="26" hidden="1">
      <c r="A323" s="1304"/>
      <c r="B323" s="643">
        <v>6710</v>
      </c>
      <c r="C323" s="643" t="s">
        <v>1935</v>
      </c>
      <c r="D323" s="3088">
        <v>2</v>
      </c>
      <c r="E323" s="3089" t="str">
        <f t="shared" si="37"/>
        <v>营业外收入</v>
      </c>
      <c r="F323" s="3090" t="s">
        <v>1936</v>
      </c>
      <c r="G323" s="3091">
        <f t="shared" si="38"/>
        <v>0</v>
      </c>
      <c r="H323" s="3092">
        <f t="shared" ca="1" si="47"/>
        <v>0</v>
      </c>
      <c r="I323" s="3094" t="s">
        <v>6803</v>
      </c>
      <c r="J323" s="3073"/>
      <c r="K323" s="3091">
        <f t="shared" si="45"/>
        <v>0</v>
      </c>
      <c r="L323" s="3072">
        <f t="shared" ca="1" si="48"/>
        <v>0</v>
      </c>
      <c r="M323" s="3094" t="s">
        <v>6803</v>
      </c>
      <c r="N323" s="3073"/>
      <c r="O323" s="3100"/>
      <c r="P323" s="3101"/>
      <c r="Q323" s="3101"/>
      <c r="R323" s="3101"/>
      <c r="S323" s="3102" t="s">
        <v>295</v>
      </c>
      <c r="T323" s="3102" t="s">
        <v>213</v>
      </c>
      <c r="U323" s="3103"/>
      <c r="V323" s="3103" t="s">
        <v>295</v>
      </c>
      <c r="W323" s="3103" t="s">
        <v>6797</v>
      </c>
      <c r="X323" s="3103" t="s">
        <v>6798</v>
      </c>
      <c r="Y323" s="3104" t="s">
        <v>164</v>
      </c>
    </row>
    <row r="324" spans="1:25" ht="17">
      <c r="A324" s="1304"/>
      <c r="B324" s="643">
        <v>6711</v>
      </c>
      <c r="C324" s="643" t="s">
        <v>1937</v>
      </c>
      <c r="D324" s="3088">
        <v>1</v>
      </c>
      <c r="E324" s="3089" t="str">
        <f t="shared" si="37"/>
        <v>营业外支出</v>
      </c>
      <c r="F324" s="3090" t="s">
        <v>1938</v>
      </c>
      <c r="G324" s="3091">
        <f t="shared" si="38"/>
        <v>0</v>
      </c>
      <c r="H324" s="3092">
        <f t="shared" ca="1" si="47"/>
        <v>0</v>
      </c>
      <c r="I324" s="3094">
        <f ca="1">IF(AND(LEN(G324)&gt;0,LEN(H324)&gt;0),ROUND(SUM(G324)-SUM(H324),2),"")</f>
        <v>0</v>
      </c>
      <c r="J324" s="3073" t="str">
        <f ca="1">IF(ISNA(I324),"N/A",IF(I324=0,"√","？"))</f>
        <v>√</v>
      </c>
      <c r="K324" s="3091">
        <f t="shared" si="45"/>
        <v>0</v>
      </c>
      <c r="L324" s="3072">
        <f t="shared" ca="1" si="48"/>
        <v>0</v>
      </c>
      <c r="M324" s="3094">
        <f ca="1">IF(AND(LEN(K324)&gt;0,LEN(L324)&gt;0),ROUND(SUM(K324)-SUM(L324),2),"")</f>
        <v>0</v>
      </c>
      <c r="N324" s="3073" t="str">
        <f ca="1">IF(ISNA(M324),"N/A",IF(M324=0,"√","？"))</f>
        <v>√</v>
      </c>
      <c r="O324" s="3100"/>
      <c r="P324" s="3101"/>
      <c r="Q324" s="3101"/>
      <c r="R324" s="3101"/>
      <c r="S324" s="3102" t="s">
        <v>295</v>
      </c>
      <c r="T324" s="3102" t="s">
        <v>213</v>
      </c>
      <c r="U324" s="3103"/>
      <c r="V324" s="3103" t="s">
        <v>295</v>
      </c>
      <c r="W324" s="3103" t="s">
        <v>6797</v>
      </c>
      <c r="X324" s="3103" t="s">
        <v>6798</v>
      </c>
      <c r="Y324" s="3104" t="s">
        <v>164</v>
      </c>
    </row>
    <row r="325" spans="1:25" ht="17">
      <c r="A325" s="1304"/>
      <c r="B325" s="643">
        <v>6791</v>
      </c>
      <c r="C325" s="643" t="s">
        <v>1939</v>
      </c>
      <c r="D325" s="3088">
        <v>1</v>
      </c>
      <c r="E325" s="3089" t="str">
        <f t="shared" si="37"/>
        <v>所得税费用</v>
      </c>
      <c r="F325" s="3090" t="s">
        <v>1940</v>
      </c>
      <c r="G325" s="3091">
        <f t="shared" si="38"/>
        <v>0</v>
      </c>
      <c r="H325" s="3092">
        <f t="shared" ca="1" si="47"/>
        <v>0</v>
      </c>
      <c r="I325" s="3094">
        <f ca="1">IF(AND(LEN(G325)&gt;0,LEN(H325)&gt;0),ROUND(SUM(G325)-SUM(H325),2),"")</f>
        <v>0</v>
      </c>
      <c r="J325" s="3073" t="str">
        <f ca="1">IF(ISNA(I325),"N/A",IF(I325=0,"√","？"))</f>
        <v>√</v>
      </c>
      <c r="K325" s="3091">
        <f t="shared" si="45"/>
        <v>0</v>
      </c>
      <c r="L325" s="3072">
        <f t="shared" ca="1" si="48"/>
        <v>0</v>
      </c>
      <c r="M325" s="3094">
        <f ca="1">IF(AND(LEN(K325)&gt;0,LEN(L325)&gt;0),ROUND(SUM(K325)-SUM(L325),2),"")</f>
        <v>0</v>
      </c>
      <c r="N325" s="3073" t="str">
        <f ca="1">IF(ISNA(M325),"N/A",IF(M325=0,"√","？"))</f>
        <v>√</v>
      </c>
      <c r="O325" s="3100"/>
      <c r="P325" s="3101"/>
      <c r="Q325" s="3101"/>
      <c r="R325" s="3101"/>
      <c r="S325" s="3102" t="s">
        <v>295</v>
      </c>
      <c r="T325" s="3102" t="s">
        <v>213</v>
      </c>
      <c r="U325" s="3103"/>
      <c r="V325" s="3103" t="s">
        <v>295</v>
      </c>
      <c r="W325" s="3103" t="s">
        <v>6797</v>
      </c>
      <c r="X325" s="3103" t="s">
        <v>6798</v>
      </c>
      <c r="Y325" s="3104" t="s">
        <v>164</v>
      </c>
    </row>
    <row r="326" spans="1:25" ht="26" hidden="1">
      <c r="A326" s="1304"/>
      <c r="B326" s="643">
        <v>6791</v>
      </c>
      <c r="C326" s="643" t="s">
        <v>1941</v>
      </c>
      <c r="D326" s="3088">
        <v>2</v>
      </c>
      <c r="E326" s="3089" t="str">
        <f t="shared" si="37"/>
        <v>所得税费用</v>
      </c>
      <c r="F326" s="3090" t="s">
        <v>1942</v>
      </c>
      <c r="G326" s="3091">
        <f t="shared" si="38"/>
        <v>0</v>
      </c>
      <c r="H326" s="3092">
        <f t="shared" ca="1" si="47"/>
        <v>0</v>
      </c>
      <c r="I326" s="3094" t="s">
        <v>6803</v>
      </c>
      <c r="J326" s="3073"/>
      <c r="K326" s="3091">
        <f t="shared" si="45"/>
        <v>0</v>
      </c>
      <c r="L326" s="3072">
        <f t="shared" ca="1" si="48"/>
        <v>0</v>
      </c>
      <c r="M326" s="3094" t="s">
        <v>6803</v>
      </c>
      <c r="N326" s="3073"/>
      <c r="O326" s="3100"/>
      <c r="P326" s="3101"/>
      <c r="Q326" s="3101"/>
      <c r="R326" s="3101"/>
      <c r="S326" s="3102" t="s">
        <v>295</v>
      </c>
      <c r="T326" s="3102" t="s">
        <v>213</v>
      </c>
      <c r="U326" s="3103"/>
      <c r="V326" s="3103" t="s">
        <v>295</v>
      </c>
      <c r="W326" s="3103" t="s">
        <v>6797</v>
      </c>
      <c r="X326" s="3103" t="s">
        <v>6800</v>
      </c>
      <c r="Y326" s="3104" t="s">
        <v>164</v>
      </c>
    </row>
    <row r="327" spans="1:25" ht="26">
      <c r="A327" s="1304"/>
      <c r="B327" s="643">
        <v>7046</v>
      </c>
      <c r="C327" s="643" t="s">
        <v>1946</v>
      </c>
      <c r="D327" s="3088">
        <v>1</v>
      </c>
      <c r="E327" s="3089" t="str">
        <f t="shared" si="37"/>
        <v>收到其他与经营活动有关的现金</v>
      </c>
      <c r="F327" s="3090" t="s">
        <v>1947</v>
      </c>
      <c r="G327" s="3091">
        <f t="shared" si="38"/>
        <v>50.09</v>
      </c>
      <c r="H327" s="3092">
        <f t="shared" ca="1" si="47"/>
        <v>50.09</v>
      </c>
      <c r="I327" s="3094">
        <f ca="1">IF(AND(LEN(G327)&gt;0,LEN(H327)&gt;0),ROUND(SUM(G327)-SUM(H327),2),"")</f>
        <v>0</v>
      </c>
      <c r="J327" s="3073" t="str">
        <f ca="1">IF(ISNA(I327),"N/A",IF(I327=0,"√","？"))</f>
        <v>√</v>
      </c>
      <c r="K327" s="3091">
        <f t="shared" si="45"/>
        <v>21238.44</v>
      </c>
      <c r="L327" s="3072">
        <f t="shared" ca="1" si="48"/>
        <v>0</v>
      </c>
      <c r="M327" s="3094">
        <f ca="1">IF(AND(LEN(K327)&gt;0,LEN(L327)&gt;0),ROUND(SUM(K327)-SUM(L327),2),"")</f>
        <v>21238.44</v>
      </c>
      <c r="N327" s="3073" t="str">
        <f ca="1">IF(ISNA(M327),"N/A",IF(M327=0,"√","？"))</f>
        <v>？</v>
      </c>
      <c r="O327" s="3100"/>
      <c r="P327" s="3101"/>
      <c r="Q327" s="3101"/>
      <c r="R327" s="3101"/>
      <c r="S327" s="3102" t="s">
        <v>295</v>
      </c>
      <c r="T327" s="3102" t="s">
        <v>213</v>
      </c>
      <c r="U327" s="3103"/>
      <c r="V327" s="3103" t="s">
        <v>295</v>
      </c>
      <c r="W327" s="3103" t="s">
        <v>6797</v>
      </c>
      <c r="X327" s="3103" t="s">
        <v>6800</v>
      </c>
      <c r="Y327" s="3104" t="s">
        <v>164</v>
      </c>
    </row>
    <row r="328" spans="1:25" ht="26" hidden="1">
      <c r="A328" s="1304"/>
      <c r="B328" s="643">
        <v>7046</v>
      </c>
      <c r="C328" s="643" t="s">
        <v>1948</v>
      </c>
      <c r="D328" s="3088">
        <v>2</v>
      </c>
      <c r="E328" s="3089" t="str">
        <f t="shared" si="37"/>
        <v>收到其他与经营活动有关的现金</v>
      </c>
      <c r="F328" s="3090" t="s">
        <v>1949</v>
      </c>
      <c r="G328" s="3091">
        <f t="shared" si="38"/>
        <v>50.09</v>
      </c>
      <c r="H328" s="3092">
        <f t="shared" ca="1" si="47"/>
        <v>0</v>
      </c>
      <c r="I328" s="3094" t="s">
        <v>6803</v>
      </c>
      <c r="J328" s="3073"/>
      <c r="K328" s="3091">
        <f t="shared" si="45"/>
        <v>21238.44</v>
      </c>
      <c r="L328" s="3072" t="s">
        <v>6799</v>
      </c>
      <c r="M328" s="3094" t="s">
        <v>6803</v>
      </c>
      <c r="N328" s="3073"/>
      <c r="O328" s="3100"/>
      <c r="P328" s="3101"/>
      <c r="Q328" s="3101"/>
      <c r="R328" s="3101"/>
      <c r="S328" s="3102" t="s">
        <v>295</v>
      </c>
      <c r="T328" s="3102" t="s">
        <v>213</v>
      </c>
      <c r="U328" s="3103">
        <v>7046</v>
      </c>
      <c r="V328" s="3103" t="s">
        <v>295</v>
      </c>
      <c r="W328" s="3103" t="s">
        <v>6797</v>
      </c>
      <c r="X328" s="3103" t="s">
        <v>213</v>
      </c>
      <c r="Y328" s="3104" t="s">
        <v>164</v>
      </c>
    </row>
    <row r="329" spans="1:25" ht="26">
      <c r="A329" s="1304"/>
      <c r="B329" s="643">
        <v>7096</v>
      </c>
      <c r="C329" s="643" t="s">
        <v>1957</v>
      </c>
      <c r="D329" s="3088">
        <v>1</v>
      </c>
      <c r="E329" s="3089" t="str">
        <f t="shared" ref="E329:E392" si="53">IF(ISERROR(VLOOKUP($B329,Sheet_Items,2,0)),"        ----",VLOOKUP($B329,Sheet_Items,2,0))</f>
        <v>支付其他与经营活动有关的现金</v>
      </c>
      <c r="F329" s="3090" t="s">
        <v>1958</v>
      </c>
      <c r="G329" s="3091">
        <f t="shared" ref="G329:G392" si="54">IF(ISERROR(VLOOKUP($B329,Sheet_Trialbal,6,0)),"        ----",VLOOKUP($B329,Sheet_Trialbal,6,0))</f>
        <v>2375</v>
      </c>
      <c r="H329" s="3092">
        <f t="shared" ca="1" si="47"/>
        <v>2375</v>
      </c>
      <c r="I329" s="3094">
        <f ca="1">IF(AND(LEN(G329)&gt;0,LEN(H329)&gt;0),ROUND(SUM(G329)-SUM(H329),2),"")</f>
        <v>0</v>
      </c>
      <c r="J329" s="3073" t="str">
        <f ca="1">IF(ISNA(I329),"N/A",IF(I329=0,"√","？"))</f>
        <v>√</v>
      </c>
      <c r="K329" s="3091">
        <f t="shared" si="45"/>
        <v>3432.76</v>
      </c>
      <c r="L329" s="3072">
        <f ca="1">INDIRECT("Notes!CheckB"&amp;$C329)</f>
        <v>0</v>
      </c>
      <c r="M329" s="3094">
        <f ca="1">IF(AND(LEN(K329)&gt;0,LEN(L329)&gt;0),ROUND(SUM(K329)-SUM(L329),2),"")</f>
        <v>3432.76</v>
      </c>
      <c r="N329" s="3073" t="str">
        <f ca="1">IF(ISNA(M329),"N/A",IF(M329=0,"√","？"))</f>
        <v>？</v>
      </c>
      <c r="O329" s="3100"/>
      <c r="P329" s="3101"/>
      <c r="Q329" s="3101"/>
      <c r="R329" s="3101"/>
      <c r="S329" s="3102" t="s">
        <v>295</v>
      </c>
      <c r="T329" s="3102" t="s">
        <v>213</v>
      </c>
      <c r="U329" s="3103"/>
      <c r="V329" s="3103" t="s">
        <v>295</v>
      </c>
      <c r="W329" s="3103" t="s">
        <v>6797</v>
      </c>
      <c r="X329" s="3103" t="s">
        <v>6800</v>
      </c>
      <c r="Y329" s="3104" t="s">
        <v>164</v>
      </c>
    </row>
    <row r="330" spans="1:25" ht="26" hidden="1">
      <c r="A330" s="1304"/>
      <c r="B330" s="643">
        <v>7096</v>
      </c>
      <c r="C330" s="643" t="s">
        <v>1960</v>
      </c>
      <c r="D330" s="3088">
        <v>2</v>
      </c>
      <c r="E330" s="3089" t="str">
        <f t="shared" si="53"/>
        <v>支付其他与经营活动有关的现金</v>
      </c>
      <c r="F330" s="3090" t="s">
        <v>1961</v>
      </c>
      <c r="G330" s="3091">
        <f t="shared" si="54"/>
        <v>2375</v>
      </c>
      <c r="H330" s="3092">
        <f t="shared" ca="1" si="47"/>
        <v>0</v>
      </c>
      <c r="I330" s="3094" t="s">
        <v>6803</v>
      </c>
      <c r="J330" s="3073"/>
      <c r="K330" s="3091">
        <f t="shared" si="45"/>
        <v>3432.76</v>
      </c>
      <c r="L330" s="3072" t="s">
        <v>6799</v>
      </c>
      <c r="M330" s="3094" t="s">
        <v>6803</v>
      </c>
      <c r="N330" s="3073"/>
      <c r="O330" s="3100"/>
      <c r="P330" s="3101"/>
      <c r="Q330" s="3101"/>
      <c r="R330" s="3101"/>
      <c r="S330" s="3102" t="s">
        <v>295</v>
      </c>
      <c r="T330" s="3102" t="s">
        <v>213</v>
      </c>
      <c r="U330" s="3103">
        <v>7096</v>
      </c>
      <c r="V330" s="3103" t="s">
        <v>295</v>
      </c>
      <c r="W330" s="3103" t="s">
        <v>6797</v>
      </c>
      <c r="X330" s="3103" t="s">
        <v>213</v>
      </c>
      <c r="Y330" s="3104" t="s">
        <v>164</v>
      </c>
    </row>
    <row r="331" spans="1:25" ht="26">
      <c r="A331" s="1304"/>
      <c r="B331" s="643">
        <v>7146</v>
      </c>
      <c r="C331" s="643" t="s">
        <v>1971</v>
      </c>
      <c r="D331" s="3088">
        <v>1</v>
      </c>
      <c r="E331" s="3089" t="str">
        <f t="shared" si="53"/>
        <v>收到其他与投资活动有关的现金</v>
      </c>
      <c r="F331" s="3090" t="s">
        <v>1972</v>
      </c>
      <c r="G331" s="3091">
        <f t="shared" si="54"/>
        <v>0</v>
      </c>
      <c r="H331" s="3092">
        <f t="shared" ca="1" si="47"/>
        <v>0</v>
      </c>
      <c r="I331" s="3094">
        <f ca="1">IF(AND(LEN(G331)&gt;0,LEN(H331)&gt;0),ROUND(SUM(G331)-SUM(H331),2),"")</f>
        <v>0</v>
      </c>
      <c r="J331" s="3073" t="str">
        <f ca="1">IF(ISNA(I331),"N/A",IF(I331=0,"√","？"))</f>
        <v>√</v>
      </c>
      <c r="K331" s="3091">
        <f t="shared" si="45"/>
        <v>0</v>
      </c>
      <c r="L331" s="3072">
        <f ca="1">INDIRECT("Notes!CheckB"&amp;$C331)</f>
        <v>0</v>
      </c>
      <c r="M331" s="3094">
        <f ca="1">IF(AND(LEN(K331)&gt;0,LEN(L331)&gt;0),ROUND(SUM(K331)-SUM(L331),2),"")</f>
        <v>0</v>
      </c>
      <c r="N331" s="3073" t="str">
        <f ca="1">IF(ISNA(M331),"N/A",IF(M331=0,"√","？"))</f>
        <v>√</v>
      </c>
      <c r="O331" s="3100"/>
      <c r="P331" s="3101"/>
      <c r="Q331" s="3101"/>
      <c r="R331" s="3101"/>
      <c r="S331" s="3102" t="s">
        <v>295</v>
      </c>
      <c r="T331" s="3102" t="s">
        <v>213</v>
      </c>
      <c r="U331" s="3103"/>
      <c r="V331" s="3103" t="s">
        <v>295</v>
      </c>
      <c r="W331" s="3103" t="s">
        <v>6797</v>
      </c>
      <c r="X331" s="3103" t="s">
        <v>6800</v>
      </c>
      <c r="Y331" s="3104" t="s">
        <v>164</v>
      </c>
    </row>
    <row r="332" spans="1:25" ht="26">
      <c r="A332" s="1304"/>
      <c r="B332" s="643">
        <v>7196</v>
      </c>
      <c r="C332" s="643" t="s">
        <v>1978</v>
      </c>
      <c r="D332" s="3088">
        <v>1</v>
      </c>
      <c r="E332" s="3089" t="str">
        <f t="shared" si="53"/>
        <v>支付其他与投资活动有关的现金</v>
      </c>
      <c r="F332" s="3090" t="s">
        <v>1979</v>
      </c>
      <c r="G332" s="3091">
        <f t="shared" si="54"/>
        <v>0</v>
      </c>
      <c r="H332" s="3092">
        <f t="shared" ca="1" si="47"/>
        <v>0</v>
      </c>
      <c r="I332" s="3094">
        <f ca="1">IF(AND(LEN(G332)&gt;0,LEN(H332)&gt;0),ROUND(SUM(G332)-SUM(H332),2),"")</f>
        <v>0</v>
      </c>
      <c r="J332" s="3073" t="str">
        <f ca="1">IF(ISNA(I332),"N/A",IF(I332=0,"√","？"))</f>
        <v>√</v>
      </c>
      <c r="K332" s="3091">
        <f t="shared" si="45"/>
        <v>0</v>
      </c>
      <c r="L332" s="3072">
        <f ca="1">INDIRECT("Notes!CheckB"&amp;$C332)</f>
        <v>0</v>
      </c>
      <c r="M332" s="3094">
        <f ca="1">IF(AND(LEN(K332)&gt;0,LEN(L332)&gt;0),ROUND(SUM(K332)-SUM(L332),2),"")</f>
        <v>0</v>
      </c>
      <c r="N332" s="3073" t="str">
        <f ca="1">IF(ISNA(M332),"N/A",IF(M332=0,"√","？"))</f>
        <v>√</v>
      </c>
      <c r="O332" s="3100"/>
      <c r="P332" s="3101"/>
      <c r="Q332" s="3101"/>
      <c r="R332" s="3101"/>
      <c r="S332" s="3102" t="s">
        <v>295</v>
      </c>
      <c r="T332" s="3102" t="s">
        <v>213</v>
      </c>
      <c r="U332" s="3103"/>
      <c r="V332" s="3103" t="s">
        <v>295</v>
      </c>
      <c r="W332" s="3103" t="s">
        <v>6797</v>
      </c>
      <c r="X332" s="3103" t="s">
        <v>6800</v>
      </c>
      <c r="Y332" s="3104" t="s">
        <v>164</v>
      </c>
    </row>
    <row r="333" spans="1:25" ht="26">
      <c r="A333" s="1304"/>
      <c r="B333" s="643">
        <v>7246</v>
      </c>
      <c r="C333" s="643" t="s">
        <v>1983</v>
      </c>
      <c r="D333" s="3088">
        <v>1</v>
      </c>
      <c r="E333" s="3089" t="str">
        <f t="shared" si="53"/>
        <v>收到其他与筹资活动有关的现金</v>
      </c>
      <c r="F333" s="3090" t="s">
        <v>1984</v>
      </c>
      <c r="G333" s="3091">
        <f t="shared" si="54"/>
        <v>0</v>
      </c>
      <c r="H333" s="3092">
        <f t="shared" ca="1" si="47"/>
        <v>0</v>
      </c>
      <c r="I333" s="3094">
        <f ca="1">IF(AND(LEN(G333)&gt;0,LEN(H333)&gt;0),ROUND(SUM(G333)-SUM(H333),2),"")</f>
        <v>0</v>
      </c>
      <c r="J333" s="3073" t="str">
        <f ca="1">IF(ISNA(I333),"N/A",IF(I333=0,"√","？"))</f>
        <v>√</v>
      </c>
      <c r="K333" s="3091">
        <f t="shared" si="45"/>
        <v>0</v>
      </c>
      <c r="L333" s="3072">
        <f ca="1">INDIRECT("Notes!CheckB"&amp;$C333)</f>
        <v>0</v>
      </c>
      <c r="M333" s="3094">
        <f ca="1">IF(AND(LEN(K333)&gt;0,LEN(L333)&gt;0),ROUND(SUM(K333)-SUM(L333),2),"")</f>
        <v>0</v>
      </c>
      <c r="N333" s="3073" t="str">
        <f ca="1">IF(ISNA(M333),"N/A",IF(M333=0,"√","？"))</f>
        <v>√</v>
      </c>
      <c r="O333" s="3100"/>
      <c r="P333" s="3101"/>
      <c r="Q333" s="3101"/>
      <c r="R333" s="3101"/>
      <c r="S333" s="3102" t="s">
        <v>295</v>
      </c>
      <c r="T333" s="3102" t="s">
        <v>213</v>
      </c>
      <c r="U333" s="3103"/>
      <c r="V333" s="3103" t="s">
        <v>295</v>
      </c>
      <c r="W333" s="3103" t="s">
        <v>6797</v>
      </c>
      <c r="X333" s="3103" t="s">
        <v>6800</v>
      </c>
      <c r="Y333" s="3104" t="s">
        <v>164</v>
      </c>
    </row>
    <row r="334" spans="1:25" ht="26">
      <c r="A334" s="1304"/>
      <c r="B334" s="643">
        <v>7296</v>
      </c>
      <c r="C334" s="643" t="s">
        <v>1990</v>
      </c>
      <c r="D334" s="3088">
        <v>1</v>
      </c>
      <c r="E334" s="3089" t="str">
        <f t="shared" si="53"/>
        <v>支付其他与筹资活动有关的现金</v>
      </c>
      <c r="F334" s="3090" t="s">
        <v>1991</v>
      </c>
      <c r="G334" s="3091">
        <f t="shared" si="54"/>
        <v>0</v>
      </c>
      <c r="H334" s="3092">
        <f t="shared" ca="1" si="47"/>
        <v>0</v>
      </c>
      <c r="I334" s="3094">
        <f ca="1">IF(AND(LEN(G334)&gt;0,LEN(H334)&gt;0),ROUND(SUM(G334)-SUM(H334),2),"")</f>
        <v>0</v>
      </c>
      <c r="J334" s="3073" t="str">
        <f ca="1">IF(ISNA(I334),"N/A",IF(I334=0,"√","？"))</f>
        <v>√</v>
      </c>
      <c r="K334" s="3091">
        <f t="shared" si="45"/>
        <v>0</v>
      </c>
      <c r="L334" s="3072">
        <f ca="1">INDIRECT("Notes!CheckB"&amp;$C334)</f>
        <v>0</v>
      </c>
      <c r="M334" s="3094">
        <f ca="1">IF(AND(LEN(K334)&gt;0,LEN(L334)&gt;0),ROUND(SUM(K334)-SUM(L334),2),"")</f>
        <v>0</v>
      </c>
      <c r="N334" s="3073" t="str">
        <f ca="1">IF(ISNA(M334),"N/A",IF(M334=0,"√","？"))</f>
        <v>√</v>
      </c>
      <c r="O334" s="3100"/>
      <c r="P334" s="3101"/>
      <c r="Q334" s="3101"/>
      <c r="R334" s="3101"/>
      <c r="S334" s="3102" t="s">
        <v>295</v>
      </c>
      <c r="T334" s="3102" t="s">
        <v>213</v>
      </c>
      <c r="U334" s="3103"/>
      <c r="V334" s="3103" t="s">
        <v>295</v>
      </c>
      <c r="W334" s="3103" t="s">
        <v>6797</v>
      </c>
      <c r="X334" s="3103" t="s">
        <v>6800</v>
      </c>
      <c r="Y334" s="3104" t="s">
        <v>164</v>
      </c>
    </row>
    <row r="335" spans="1:25" ht="26" hidden="1">
      <c r="A335" s="1304"/>
      <c r="B335" s="643">
        <v>7001</v>
      </c>
      <c r="C335" s="643" t="s">
        <v>1944</v>
      </c>
      <c r="D335" s="3088">
        <v>2</v>
      </c>
      <c r="E335" s="3089" t="str">
        <f t="shared" si="53"/>
        <v>销售商品提供劳务收到的现金</v>
      </c>
      <c r="F335" s="3090" t="s">
        <v>1945</v>
      </c>
      <c r="G335" s="3091">
        <f t="shared" si="54"/>
        <v>0</v>
      </c>
      <c r="H335" s="3092">
        <f t="shared" ca="1" si="47"/>
        <v>0</v>
      </c>
      <c r="I335" s="3094" t="s">
        <v>6803</v>
      </c>
      <c r="J335" s="3073"/>
      <c r="K335" s="3091">
        <f t="shared" si="45"/>
        <v>0</v>
      </c>
      <c r="L335" s="3072" t="s">
        <v>6799</v>
      </c>
      <c r="M335" s="3094" t="s">
        <v>6803</v>
      </c>
      <c r="N335" s="3073"/>
      <c r="O335" s="3100"/>
      <c r="P335" s="3101"/>
      <c r="Q335" s="3101"/>
      <c r="R335" s="3101"/>
      <c r="S335" s="3102" t="s">
        <v>295</v>
      </c>
      <c r="T335" s="3102" t="s">
        <v>213</v>
      </c>
      <c r="U335" s="3103"/>
      <c r="V335" s="3103" t="s">
        <v>295</v>
      </c>
      <c r="W335" s="3103" t="s">
        <v>6797</v>
      </c>
      <c r="X335" s="3103" t="s">
        <v>213</v>
      </c>
      <c r="Y335" s="3104" t="s">
        <v>164</v>
      </c>
    </row>
    <row r="336" spans="1:25" ht="26" hidden="1">
      <c r="A336" s="1304"/>
      <c r="B336" s="643">
        <v>7051</v>
      </c>
      <c r="C336" s="643" t="s">
        <v>1951</v>
      </c>
      <c r="D336" s="3088">
        <v>2</v>
      </c>
      <c r="E336" s="3089" t="str">
        <f t="shared" si="53"/>
        <v>购买商品接受劳务支付的现金</v>
      </c>
      <c r="F336" s="3090" t="s">
        <v>1952</v>
      </c>
      <c r="G336" s="3091">
        <f t="shared" si="54"/>
        <v>0</v>
      </c>
      <c r="H336" s="3092">
        <f t="shared" ca="1" si="47"/>
        <v>0</v>
      </c>
      <c r="I336" s="3094" t="s">
        <v>6803</v>
      </c>
      <c r="J336" s="3073"/>
      <c r="K336" s="3091">
        <f t="shared" si="45"/>
        <v>0</v>
      </c>
      <c r="L336" s="3072" t="s">
        <v>6799</v>
      </c>
      <c r="M336" s="3094" t="s">
        <v>6803</v>
      </c>
      <c r="N336" s="3073"/>
      <c r="O336" s="3100"/>
      <c r="P336" s="3101"/>
      <c r="Q336" s="3101"/>
      <c r="R336" s="3101"/>
      <c r="S336" s="3102" t="s">
        <v>295</v>
      </c>
      <c r="T336" s="3102" t="s">
        <v>213</v>
      </c>
      <c r="U336" s="3103"/>
      <c r="V336" s="3103" t="s">
        <v>295</v>
      </c>
      <c r="W336" s="3103" t="s">
        <v>6797</v>
      </c>
      <c r="X336" s="3103" t="s">
        <v>213</v>
      </c>
      <c r="Y336" s="3104" t="s">
        <v>164</v>
      </c>
    </row>
    <row r="337" spans="1:25" ht="26" hidden="1">
      <c r="A337" s="1304"/>
      <c r="B337" s="643">
        <v>7061</v>
      </c>
      <c r="C337" s="643" t="s">
        <v>1953</v>
      </c>
      <c r="D337" s="3088">
        <v>2</v>
      </c>
      <c r="E337" s="3089" t="str">
        <f t="shared" si="53"/>
        <v>支付给职工以及为职工支付的现金</v>
      </c>
      <c r="F337" s="3090" t="s">
        <v>1954</v>
      </c>
      <c r="G337" s="3091">
        <f t="shared" si="54"/>
        <v>0</v>
      </c>
      <c r="H337" s="3092">
        <f t="shared" ca="1" si="47"/>
        <v>0</v>
      </c>
      <c r="I337" s="3094" t="s">
        <v>6803</v>
      </c>
      <c r="J337" s="3073"/>
      <c r="K337" s="3091">
        <f t="shared" si="45"/>
        <v>0</v>
      </c>
      <c r="L337" s="3072" t="s">
        <v>6799</v>
      </c>
      <c r="M337" s="3094" t="s">
        <v>6803</v>
      </c>
      <c r="N337" s="3073"/>
      <c r="O337" s="3100"/>
      <c r="P337" s="3101"/>
      <c r="Q337" s="3101"/>
      <c r="R337" s="3101"/>
      <c r="S337" s="3102" t="s">
        <v>295</v>
      </c>
      <c r="T337" s="3102" t="s">
        <v>213</v>
      </c>
      <c r="U337" s="3103"/>
      <c r="V337" s="3103" t="s">
        <v>295</v>
      </c>
      <c r="W337" s="3103" t="s">
        <v>6797</v>
      </c>
      <c r="X337" s="3103" t="s">
        <v>213</v>
      </c>
      <c r="Y337" s="3104" t="s">
        <v>164</v>
      </c>
    </row>
    <row r="338" spans="1:25" ht="17" hidden="1">
      <c r="A338" s="1304"/>
      <c r="B338" s="643">
        <v>7071</v>
      </c>
      <c r="C338" s="643" t="s">
        <v>1955</v>
      </c>
      <c r="D338" s="3088">
        <v>2</v>
      </c>
      <c r="E338" s="3089" t="str">
        <f t="shared" si="53"/>
        <v>支付的各项税费</v>
      </c>
      <c r="F338" s="3090" t="s">
        <v>1956</v>
      </c>
      <c r="G338" s="3091">
        <f t="shared" si="54"/>
        <v>0</v>
      </c>
      <c r="H338" s="3092">
        <f t="shared" ca="1" si="47"/>
        <v>0</v>
      </c>
      <c r="I338" s="3094" t="s">
        <v>6803</v>
      </c>
      <c r="J338" s="3073"/>
      <c r="K338" s="3091">
        <f t="shared" si="45"/>
        <v>0</v>
      </c>
      <c r="L338" s="3072" t="s">
        <v>6799</v>
      </c>
      <c r="M338" s="3094" t="s">
        <v>6803</v>
      </c>
      <c r="N338" s="3073"/>
      <c r="O338" s="3100"/>
      <c r="P338" s="3101"/>
      <c r="Q338" s="3101"/>
      <c r="R338" s="3101"/>
      <c r="S338" s="3102" t="s">
        <v>295</v>
      </c>
      <c r="T338" s="3102" t="s">
        <v>213</v>
      </c>
      <c r="U338" s="3103"/>
      <c r="V338" s="3103" t="s">
        <v>295</v>
      </c>
      <c r="W338" s="3103" t="s">
        <v>6797</v>
      </c>
      <c r="X338" s="3103" t="s">
        <v>213</v>
      </c>
      <c r="Y338" s="3104" t="s">
        <v>164</v>
      </c>
    </row>
    <row r="339" spans="1:25" ht="26" hidden="1">
      <c r="A339" s="1304"/>
      <c r="B339" s="643">
        <v>7101</v>
      </c>
      <c r="C339" s="643" t="s">
        <v>1963</v>
      </c>
      <c r="D339" s="3088">
        <v>2</v>
      </c>
      <c r="E339" s="3089" t="str">
        <f t="shared" si="53"/>
        <v>收回投资收到的现金</v>
      </c>
      <c r="F339" s="3090" t="s">
        <v>1964</v>
      </c>
      <c r="G339" s="3091">
        <f t="shared" si="54"/>
        <v>0</v>
      </c>
      <c r="H339" s="3092">
        <f t="shared" ca="1" si="47"/>
        <v>0</v>
      </c>
      <c r="I339" s="3094" t="s">
        <v>6803</v>
      </c>
      <c r="J339" s="3073"/>
      <c r="K339" s="3091">
        <f t="shared" si="45"/>
        <v>0</v>
      </c>
      <c r="L339" s="3072" t="s">
        <v>6799</v>
      </c>
      <c r="M339" s="3094" t="s">
        <v>6803</v>
      </c>
      <c r="N339" s="3073"/>
      <c r="O339" s="3100"/>
      <c r="P339" s="3101"/>
      <c r="Q339" s="3101"/>
      <c r="R339" s="3101"/>
      <c r="S339" s="3102" t="s">
        <v>295</v>
      </c>
      <c r="T339" s="3102" t="s">
        <v>213</v>
      </c>
      <c r="U339" s="3103"/>
      <c r="V339" s="3103" t="s">
        <v>295</v>
      </c>
      <c r="W339" s="3103" t="s">
        <v>6797</v>
      </c>
      <c r="X339" s="3103" t="s">
        <v>213</v>
      </c>
      <c r="Y339" s="3104" t="s">
        <v>164</v>
      </c>
    </row>
    <row r="340" spans="1:25" ht="26" hidden="1">
      <c r="A340" s="1304"/>
      <c r="B340" s="643">
        <v>7105</v>
      </c>
      <c r="C340" s="643" t="s">
        <v>1965</v>
      </c>
      <c r="D340" s="3088">
        <v>2</v>
      </c>
      <c r="E340" s="3089" t="str">
        <f t="shared" si="53"/>
        <v>取得投资收益收到的现金</v>
      </c>
      <c r="F340" s="3090" t="s">
        <v>1966</v>
      </c>
      <c r="G340" s="3091">
        <f t="shared" si="54"/>
        <v>0</v>
      </c>
      <c r="H340" s="3092">
        <f t="shared" ca="1" si="47"/>
        <v>0</v>
      </c>
      <c r="I340" s="3094" t="s">
        <v>6803</v>
      </c>
      <c r="J340" s="3073"/>
      <c r="K340" s="3091">
        <f t="shared" si="45"/>
        <v>0</v>
      </c>
      <c r="L340" s="3072" t="s">
        <v>6799</v>
      </c>
      <c r="M340" s="3094" t="s">
        <v>6803</v>
      </c>
      <c r="N340" s="3073"/>
      <c r="O340" s="3100"/>
      <c r="P340" s="3101"/>
      <c r="Q340" s="3101"/>
      <c r="R340" s="3101"/>
      <c r="S340" s="3102" t="s">
        <v>295</v>
      </c>
      <c r="T340" s="3102" t="s">
        <v>213</v>
      </c>
      <c r="U340" s="3103"/>
      <c r="V340" s="3103" t="s">
        <v>295</v>
      </c>
      <c r="W340" s="3103" t="s">
        <v>6797</v>
      </c>
      <c r="X340" s="3103" t="s">
        <v>213</v>
      </c>
      <c r="Y340" s="3104" t="s">
        <v>164</v>
      </c>
    </row>
    <row r="341" spans="1:25" ht="39" hidden="1">
      <c r="A341" s="1304"/>
      <c r="B341" s="643">
        <v>7111</v>
      </c>
      <c r="C341" s="643" t="s">
        <v>1967</v>
      </c>
      <c r="D341" s="3088">
        <v>2</v>
      </c>
      <c r="E341" s="3089" t="str">
        <f t="shared" si="53"/>
        <v>处置固定资产无形资产长期资产收回的现金</v>
      </c>
      <c r="F341" s="3090" t="s">
        <v>1968</v>
      </c>
      <c r="G341" s="3091">
        <f t="shared" si="54"/>
        <v>0</v>
      </c>
      <c r="H341" s="3092">
        <f t="shared" ca="1" si="47"/>
        <v>0</v>
      </c>
      <c r="I341" s="3094" t="s">
        <v>6803</v>
      </c>
      <c r="J341" s="3073"/>
      <c r="K341" s="3091">
        <f t="shared" si="45"/>
        <v>0</v>
      </c>
      <c r="L341" s="3072" t="s">
        <v>6799</v>
      </c>
      <c r="M341" s="3094" t="s">
        <v>6803</v>
      </c>
      <c r="N341" s="3073"/>
      <c r="O341" s="3100"/>
      <c r="P341" s="3101"/>
      <c r="Q341" s="3101"/>
      <c r="R341" s="3101"/>
      <c r="S341" s="3102" t="s">
        <v>295</v>
      </c>
      <c r="T341" s="3102" t="s">
        <v>213</v>
      </c>
      <c r="U341" s="3103"/>
      <c r="V341" s="3103" t="s">
        <v>295</v>
      </c>
      <c r="W341" s="3103" t="s">
        <v>6797</v>
      </c>
      <c r="X341" s="3103" t="s">
        <v>213</v>
      </c>
      <c r="Y341" s="3104" t="s">
        <v>164</v>
      </c>
    </row>
    <row r="342" spans="1:25" ht="39" hidden="1">
      <c r="A342" s="1304"/>
      <c r="B342" s="643">
        <v>7151</v>
      </c>
      <c r="C342" s="643" t="s">
        <v>1973</v>
      </c>
      <c r="D342" s="3088">
        <v>2</v>
      </c>
      <c r="E342" s="3089" t="str">
        <f t="shared" si="53"/>
        <v>购置固定资产无形资产长期资产支付的现金</v>
      </c>
      <c r="F342" s="3090" t="s">
        <v>1974</v>
      </c>
      <c r="G342" s="3091">
        <f t="shared" si="54"/>
        <v>0</v>
      </c>
      <c r="H342" s="3092">
        <f t="shared" ca="1" si="47"/>
        <v>0</v>
      </c>
      <c r="I342" s="3094" t="s">
        <v>6803</v>
      </c>
      <c r="J342" s="3073"/>
      <c r="K342" s="3091">
        <f t="shared" si="45"/>
        <v>0</v>
      </c>
      <c r="L342" s="3072" t="s">
        <v>6799</v>
      </c>
      <c r="M342" s="3094" t="s">
        <v>6803</v>
      </c>
      <c r="N342" s="3073"/>
      <c r="O342" s="3100"/>
      <c r="P342" s="3101"/>
      <c r="Q342" s="3101"/>
      <c r="R342" s="3101"/>
      <c r="S342" s="3102" t="s">
        <v>295</v>
      </c>
      <c r="T342" s="3102" t="s">
        <v>213</v>
      </c>
      <c r="U342" s="3103"/>
      <c r="V342" s="3103" t="s">
        <v>295</v>
      </c>
      <c r="W342" s="3103" t="s">
        <v>6797</v>
      </c>
      <c r="X342" s="3103" t="s">
        <v>213</v>
      </c>
      <c r="Y342" s="3104" t="s">
        <v>164</v>
      </c>
    </row>
    <row r="343" spans="1:25" ht="17" hidden="1">
      <c r="A343" s="1304"/>
      <c r="B343" s="643">
        <v>7161</v>
      </c>
      <c r="C343" s="643" t="s">
        <v>1975</v>
      </c>
      <c r="D343" s="3088">
        <v>2</v>
      </c>
      <c r="E343" s="3089" t="str">
        <f t="shared" si="53"/>
        <v>投资支付的现金</v>
      </c>
      <c r="F343" s="3090" t="s">
        <v>1976</v>
      </c>
      <c r="G343" s="3091">
        <f t="shared" si="54"/>
        <v>0</v>
      </c>
      <c r="H343" s="3092">
        <f t="shared" ca="1" si="47"/>
        <v>0</v>
      </c>
      <c r="I343" s="3094" t="s">
        <v>6803</v>
      </c>
      <c r="J343" s="3073"/>
      <c r="K343" s="3091">
        <f t="shared" si="45"/>
        <v>0</v>
      </c>
      <c r="L343" s="3072" t="s">
        <v>6799</v>
      </c>
      <c r="M343" s="3094" t="s">
        <v>6803</v>
      </c>
      <c r="N343" s="3073"/>
      <c r="O343" s="3100"/>
      <c r="P343" s="3101"/>
      <c r="Q343" s="3101"/>
      <c r="R343" s="3101"/>
      <c r="S343" s="3102" t="s">
        <v>295</v>
      </c>
      <c r="T343" s="3102" t="s">
        <v>213</v>
      </c>
      <c r="U343" s="3103"/>
      <c r="V343" s="3103" t="s">
        <v>295</v>
      </c>
      <c r="W343" s="3103" t="s">
        <v>6797</v>
      </c>
      <c r="X343" s="3103" t="s">
        <v>213</v>
      </c>
      <c r="Y343" s="3104" t="s">
        <v>164</v>
      </c>
    </row>
    <row r="344" spans="1:25" ht="26" hidden="1">
      <c r="A344" s="1304"/>
      <c r="B344" s="643">
        <v>7211</v>
      </c>
      <c r="C344" s="643" t="s">
        <v>1980</v>
      </c>
      <c r="D344" s="3088">
        <v>2</v>
      </c>
      <c r="E344" s="3089" t="str">
        <f t="shared" si="53"/>
        <v>取得借款收到的现金</v>
      </c>
      <c r="F344" s="3090" t="s">
        <v>1981</v>
      </c>
      <c r="G344" s="3091">
        <f t="shared" si="54"/>
        <v>0</v>
      </c>
      <c r="H344" s="3092">
        <f t="shared" ca="1" si="47"/>
        <v>0</v>
      </c>
      <c r="I344" s="3094" t="s">
        <v>6803</v>
      </c>
      <c r="J344" s="3073"/>
      <c r="K344" s="3091">
        <f t="shared" si="45"/>
        <v>0</v>
      </c>
      <c r="L344" s="3072" t="s">
        <v>6799</v>
      </c>
      <c r="M344" s="3094" t="s">
        <v>6803</v>
      </c>
      <c r="N344" s="3073"/>
      <c r="O344" s="3100"/>
      <c r="P344" s="3101"/>
      <c r="Q344" s="3101"/>
      <c r="R344" s="3101"/>
      <c r="S344" s="3102" t="s">
        <v>295</v>
      </c>
      <c r="T344" s="3102" t="s">
        <v>213</v>
      </c>
      <c r="U344" s="3103"/>
      <c r="V344" s="3103" t="s">
        <v>295</v>
      </c>
      <c r="W344" s="3103" t="s">
        <v>6797</v>
      </c>
      <c r="X344" s="3103" t="s">
        <v>213</v>
      </c>
      <c r="Y344" s="3104" t="s">
        <v>164</v>
      </c>
    </row>
    <row r="345" spans="1:25" ht="26" hidden="1">
      <c r="A345" s="1304"/>
      <c r="B345" s="643">
        <v>7251</v>
      </c>
      <c r="C345" s="643" t="s">
        <v>1986</v>
      </c>
      <c r="D345" s="3088">
        <v>2</v>
      </c>
      <c r="E345" s="3089" t="str">
        <f t="shared" si="53"/>
        <v>偿还债务支付的现金</v>
      </c>
      <c r="F345" s="3090" t="s">
        <v>1987</v>
      </c>
      <c r="G345" s="3091">
        <f t="shared" si="54"/>
        <v>0</v>
      </c>
      <c r="H345" s="3092">
        <f t="shared" ca="1" si="47"/>
        <v>0</v>
      </c>
      <c r="I345" s="3094" t="s">
        <v>6803</v>
      </c>
      <c r="J345" s="3073"/>
      <c r="K345" s="3091">
        <f t="shared" si="45"/>
        <v>0</v>
      </c>
      <c r="L345" s="3072" t="s">
        <v>6799</v>
      </c>
      <c r="M345" s="3094" t="s">
        <v>6803</v>
      </c>
      <c r="N345" s="3073"/>
      <c r="O345" s="3100"/>
      <c r="P345" s="3101"/>
      <c r="Q345" s="3101"/>
      <c r="R345" s="3101"/>
      <c r="S345" s="3102" t="s">
        <v>295</v>
      </c>
      <c r="T345" s="3102" t="s">
        <v>213</v>
      </c>
      <c r="U345" s="3103"/>
      <c r="V345" s="3103" t="s">
        <v>295</v>
      </c>
      <c r="W345" s="3103" t="s">
        <v>6797</v>
      </c>
      <c r="X345" s="3103" t="s">
        <v>213</v>
      </c>
      <c r="Y345" s="3104" t="s">
        <v>164</v>
      </c>
    </row>
    <row r="346" spans="1:25" ht="26" hidden="1">
      <c r="A346" s="1304"/>
      <c r="B346" s="643">
        <v>7261</v>
      </c>
      <c r="C346" s="643" t="s">
        <v>1988</v>
      </c>
      <c r="D346" s="3088">
        <v>2</v>
      </c>
      <c r="E346" s="3089" t="str">
        <f t="shared" si="53"/>
        <v>分配利润偿付利息支付的现金</v>
      </c>
      <c r="F346" s="3090" t="s">
        <v>1989</v>
      </c>
      <c r="G346" s="3091">
        <f t="shared" si="54"/>
        <v>0</v>
      </c>
      <c r="H346" s="3092">
        <f t="shared" ca="1" si="47"/>
        <v>0</v>
      </c>
      <c r="I346" s="3094" t="s">
        <v>6803</v>
      </c>
      <c r="J346" s="3073"/>
      <c r="K346" s="3091">
        <f t="shared" si="45"/>
        <v>0</v>
      </c>
      <c r="L346" s="3072" t="s">
        <v>6799</v>
      </c>
      <c r="M346" s="3094" t="s">
        <v>6803</v>
      </c>
      <c r="N346" s="3073"/>
      <c r="O346" s="3100"/>
      <c r="P346" s="3101"/>
      <c r="Q346" s="3101"/>
      <c r="R346" s="3101"/>
      <c r="S346" s="3102" t="s">
        <v>295</v>
      </c>
      <c r="T346" s="3102" t="s">
        <v>213</v>
      </c>
      <c r="U346" s="3103"/>
      <c r="V346" s="3103" t="s">
        <v>295</v>
      </c>
      <c r="W346" s="3103" t="s">
        <v>6797</v>
      </c>
      <c r="X346" s="3103" t="s">
        <v>213</v>
      </c>
      <c r="Y346" s="3104" t="s">
        <v>164</v>
      </c>
    </row>
    <row r="347" spans="1:25" ht="26" hidden="1">
      <c r="A347" s="1304"/>
      <c r="B347" s="643"/>
      <c r="C347" s="643" t="s">
        <v>1993</v>
      </c>
      <c r="D347" s="3088">
        <v>3</v>
      </c>
      <c r="E347" s="3089" t="str">
        <f t="shared" si="53"/>
        <v xml:space="preserve">        ----</v>
      </c>
      <c r="F347" s="3090" t="s">
        <v>1994</v>
      </c>
      <c r="G347" s="3091" t="str">
        <f t="shared" si="54"/>
        <v xml:space="preserve">        ----</v>
      </c>
      <c r="H347" s="3092" t="s">
        <v>6799</v>
      </c>
      <c r="I347" s="3094" t="s">
        <v>6803</v>
      </c>
      <c r="J347" s="3073"/>
      <c r="K347" s="3091" t="str">
        <f t="shared" si="45"/>
        <v xml:space="preserve">        ----</v>
      </c>
      <c r="L347" s="3072" t="s">
        <v>6799</v>
      </c>
      <c r="M347" s="3094" t="s">
        <v>6803</v>
      </c>
      <c r="N347" s="3073"/>
      <c r="O347" s="3100"/>
      <c r="P347" s="3101"/>
      <c r="Q347" s="3101"/>
      <c r="R347" s="3101"/>
      <c r="S347" s="3102" t="s">
        <v>295</v>
      </c>
      <c r="T347" s="3102" t="s">
        <v>213</v>
      </c>
      <c r="U347" s="3103"/>
      <c r="V347" s="3103" t="s">
        <v>295</v>
      </c>
      <c r="W347" s="3103" t="s">
        <v>6797</v>
      </c>
      <c r="X347" s="3103" t="s">
        <v>6798</v>
      </c>
      <c r="Y347" s="3104" t="s">
        <v>164</v>
      </c>
    </row>
    <row r="348" spans="1:25" ht="26" hidden="1">
      <c r="A348" s="1304"/>
      <c r="B348" s="643"/>
      <c r="C348" s="643" t="s">
        <v>1996</v>
      </c>
      <c r="D348" s="3088">
        <v>3</v>
      </c>
      <c r="E348" s="3089" t="str">
        <f t="shared" si="53"/>
        <v xml:space="preserve">        ----</v>
      </c>
      <c r="F348" s="3090" t="s">
        <v>1997</v>
      </c>
      <c r="G348" s="3091" t="str">
        <f t="shared" si="54"/>
        <v xml:space="preserve">        ----</v>
      </c>
      <c r="H348" s="3092" t="s">
        <v>6799</v>
      </c>
      <c r="I348" s="3094" t="s">
        <v>6803</v>
      </c>
      <c r="J348" s="3073"/>
      <c r="K348" s="3091" t="str">
        <f t="shared" si="45"/>
        <v xml:space="preserve">        ----</v>
      </c>
      <c r="L348" s="3072" t="s">
        <v>6799</v>
      </c>
      <c r="M348" s="3094" t="s">
        <v>6803</v>
      </c>
      <c r="N348" s="3073"/>
      <c r="O348" s="3100"/>
      <c r="P348" s="3101"/>
      <c r="Q348" s="3101"/>
      <c r="R348" s="3101"/>
      <c r="S348" s="3102" t="s">
        <v>295</v>
      </c>
      <c r="T348" s="3102" t="s">
        <v>213</v>
      </c>
      <c r="U348" s="3103"/>
      <c r="V348" s="3103" t="s">
        <v>295</v>
      </c>
      <c r="W348" s="3103" t="s">
        <v>6797</v>
      </c>
      <c r="X348" s="3103" t="s">
        <v>6798</v>
      </c>
      <c r="Y348" s="3104" t="s">
        <v>164</v>
      </c>
    </row>
    <row r="349" spans="1:25" ht="26" hidden="1">
      <c r="A349" s="1304"/>
      <c r="B349" s="643"/>
      <c r="C349" s="643" t="s">
        <v>1998</v>
      </c>
      <c r="D349" s="3088">
        <v>3</v>
      </c>
      <c r="E349" s="3089" t="str">
        <f t="shared" si="53"/>
        <v xml:space="preserve">        ----</v>
      </c>
      <c r="F349" s="3090" t="s">
        <v>1999</v>
      </c>
      <c r="G349" s="3091" t="str">
        <f t="shared" si="54"/>
        <v xml:space="preserve">        ----</v>
      </c>
      <c r="H349" s="3092" t="s">
        <v>6799</v>
      </c>
      <c r="I349" s="3094" t="s">
        <v>6803</v>
      </c>
      <c r="J349" s="3073"/>
      <c r="K349" s="3091" t="str">
        <f t="shared" si="45"/>
        <v xml:space="preserve">        ----</v>
      </c>
      <c r="L349" s="3072" t="s">
        <v>6799</v>
      </c>
      <c r="M349" s="3094" t="s">
        <v>6803</v>
      </c>
      <c r="N349" s="3073"/>
      <c r="O349" s="3100"/>
      <c r="P349" s="3101"/>
      <c r="Q349" s="3101"/>
      <c r="R349" s="3101"/>
      <c r="S349" s="3102" t="s">
        <v>295</v>
      </c>
      <c r="T349" s="3102" t="s">
        <v>213</v>
      </c>
      <c r="U349" s="3103"/>
      <c r="V349" s="3103" t="s">
        <v>295</v>
      </c>
      <c r="W349" s="3103" t="s">
        <v>6797</v>
      </c>
      <c r="X349" s="3103" t="s">
        <v>6798</v>
      </c>
      <c r="Y349" s="3104" t="s">
        <v>164</v>
      </c>
    </row>
    <row r="350" spans="1:25" ht="26" hidden="1">
      <c r="A350" s="1304"/>
      <c r="B350" s="643"/>
      <c r="C350" s="643" t="s">
        <v>2008</v>
      </c>
      <c r="D350" s="3088">
        <v>3</v>
      </c>
      <c r="E350" s="3089" t="str">
        <f t="shared" si="53"/>
        <v xml:space="preserve">        ----</v>
      </c>
      <c r="F350" s="3090" t="s">
        <v>2009</v>
      </c>
      <c r="G350" s="3091" t="str">
        <f t="shared" si="54"/>
        <v xml:space="preserve">        ----</v>
      </c>
      <c r="H350" s="3092" t="s">
        <v>6799</v>
      </c>
      <c r="I350" s="3094" t="s">
        <v>6803</v>
      </c>
      <c r="J350" s="3073"/>
      <c r="K350" s="3091" t="str">
        <f t="shared" si="45"/>
        <v xml:space="preserve">        ----</v>
      </c>
      <c r="L350" s="3072" t="s">
        <v>6799</v>
      </c>
      <c r="M350" s="3094" t="s">
        <v>6803</v>
      </c>
      <c r="N350" s="3073"/>
      <c r="O350" s="3100"/>
      <c r="P350" s="3101"/>
      <c r="Q350" s="3101"/>
      <c r="R350" s="3101"/>
      <c r="S350" s="3102" t="s">
        <v>295</v>
      </c>
      <c r="T350" s="3102" t="s">
        <v>213</v>
      </c>
      <c r="U350" s="3103"/>
      <c r="V350" s="3103" t="s">
        <v>295</v>
      </c>
      <c r="W350" s="3103" t="s">
        <v>6797</v>
      </c>
      <c r="X350" s="3103" t="s">
        <v>6800</v>
      </c>
      <c r="Y350" s="3104" t="s">
        <v>164</v>
      </c>
    </row>
    <row r="351" spans="1:25" ht="26" hidden="1">
      <c r="A351" s="1304"/>
      <c r="B351" s="643"/>
      <c r="C351" s="643" t="s">
        <v>2010</v>
      </c>
      <c r="D351" s="3088">
        <v>3</v>
      </c>
      <c r="E351" s="3089" t="str">
        <f t="shared" si="53"/>
        <v xml:space="preserve">        ----</v>
      </c>
      <c r="F351" s="3090" t="s">
        <v>2011</v>
      </c>
      <c r="G351" s="3091" t="str">
        <f t="shared" si="54"/>
        <v xml:space="preserve">        ----</v>
      </c>
      <c r="H351" s="3092" t="s">
        <v>6799</v>
      </c>
      <c r="I351" s="3094" t="s">
        <v>6803</v>
      </c>
      <c r="J351" s="3073"/>
      <c r="K351" s="3091" t="str">
        <f t="shared" ref="K351:K408" si="55">IF(ISERROR(VLOOKUP($B351,Sheet_Trialbal,10,0)),"        ----",VLOOKUP($B351,Sheet_Trialbal,10,0))</f>
        <v xml:space="preserve">        ----</v>
      </c>
      <c r="L351" s="3072" t="s">
        <v>6799</v>
      </c>
      <c r="M351" s="3094" t="s">
        <v>6803</v>
      </c>
      <c r="N351" s="3073"/>
      <c r="O351" s="3100"/>
      <c r="P351" s="3101"/>
      <c r="Q351" s="3101"/>
      <c r="R351" s="3101"/>
      <c r="S351" s="3102" t="s">
        <v>295</v>
      </c>
      <c r="T351" s="3102" t="s">
        <v>213</v>
      </c>
      <c r="U351" s="3103"/>
      <c r="V351" s="3103" t="s">
        <v>295</v>
      </c>
      <c r="W351" s="3103" t="s">
        <v>6797</v>
      </c>
      <c r="X351" s="3103" t="s">
        <v>6800</v>
      </c>
      <c r="Y351" s="3104" t="s">
        <v>164</v>
      </c>
    </row>
    <row r="352" spans="1:25" ht="26" hidden="1">
      <c r="A352" s="1304"/>
      <c r="B352" s="643"/>
      <c r="C352" s="643" t="s">
        <v>2003</v>
      </c>
      <c r="D352" s="3088">
        <v>3</v>
      </c>
      <c r="E352" s="3089" t="str">
        <f t="shared" si="53"/>
        <v xml:space="preserve">        ----</v>
      </c>
      <c r="F352" s="3090" t="s">
        <v>2004</v>
      </c>
      <c r="G352" s="3091" t="str">
        <f t="shared" si="54"/>
        <v xml:space="preserve">        ----</v>
      </c>
      <c r="H352" s="3092" t="s">
        <v>6799</v>
      </c>
      <c r="I352" s="3094" t="s">
        <v>6803</v>
      </c>
      <c r="J352" s="3073"/>
      <c r="K352" s="3091" t="str">
        <f t="shared" si="55"/>
        <v xml:space="preserve">        ----</v>
      </c>
      <c r="L352" s="3072" t="s">
        <v>6799</v>
      </c>
      <c r="M352" s="3094" t="s">
        <v>6803</v>
      </c>
      <c r="N352" s="3073"/>
      <c r="O352" s="3100"/>
      <c r="P352" s="3101"/>
      <c r="Q352" s="3101"/>
      <c r="R352" s="3101"/>
      <c r="S352" s="3102" t="s">
        <v>295</v>
      </c>
      <c r="T352" s="3102" t="s">
        <v>213</v>
      </c>
      <c r="U352" s="3103"/>
      <c r="V352" s="3103" t="s">
        <v>295</v>
      </c>
      <c r="W352" s="3103" t="s">
        <v>6797</v>
      </c>
      <c r="X352" s="3103" t="s">
        <v>6798</v>
      </c>
      <c r="Y352" s="3104" t="s">
        <v>164</v>
      </c>
    </row>
    <row r="353" spans="1:25" ht="26" hidden="1">
      <c r="A353" s="1304"/>
      <c r="B353" s="643"/>
      <c r="C353" s="643" t="s">
        <v>2006</v>
      </c>
      <c r="D353" s="3088">
        <v>3</v>
      </c>
      <c r="E353" s="3089" t="str">
        <f t="shared" si="53"/>
        <v xml:space="preserve">        ----</v>
      </c>
      <c r="F353" s="3090" t="s">
        <v>2007</v>
      </c>
      <c r="G353" s="3091" t="str">
        <f t="shared" si="54"/>
        <v xml:space="preserve">        ----</v>
      </c>
      <c r="H353" s="3092" t="s">
        <v>6799</v>
      </c>
      <c r="I353" s="3094" t="s">
        <v>6803</v>
      </c>
      <c r="J353" s="3073"/>
      <c r="K353" s="3091" t="str">
        <f t="shared" si="55"/>
        <v xml:space="preserve">        ----</v>
      </c>
      <c r="L353" s="3072" t="s">
        <v>6799</v>
      </c>
      <c r="M353" s="3094" t="s">
        <v>6803</v>
      </c>
      <c r="N353" s="3073"/>
      <c r="O353" s="3100"/>
      <c r="P353" s="3101"/>
      <c r="Q353" s="3101"/>
      <c r="R353" s="3101"/>
      <c r="S353" s="3102" t="s">
        <v>295</v>
      </c>
      <c r="T353" s="3102" t="s">
        <v>213</v>
      </c>
      <c r="U353" s="3103"/>
      <c r="V353" s="3103" t="s">
        <v>295</v>
      </c>
      <c r="W353" s="3103" t="s">
        <v>6797</v>
      </c>
      <c r="X353" s="3103" t="s">
        <v>213</v>
      </c>
      <c r="Y353" s="3104" t="s">
        <v>164</v>
      </c>
    </row>
    <row r="354" spans="1:25" ht="39" hidden="1">
      <c r="A354" s="1304"/>
      <c r="B354" s="643"/>
      <c r="C354" s="643" t="s">
        <v>2012</v>
      </c>
      <c r="D354" s="3088">
        <v>3</v>
      </c>
      <c r="E354" s="3089" t="str">
        <f t="shared" si="53"/>
        <v xml:space="preserve">        ----</v>
      </c>
      <c r="F354" s="3090" t="s">
        <v>2013</v>
      </c>
      <c r="G354" s="3091" t="str">
        <f t="shared" si="54"/>
        <v xml:space="preserve">        ----</v>
      </c>
      <c r="H354" s="3092">
        <f t="shared" ref="H354:H368" ca="1" si="56">INDIRECT("Notes!CheckA"&amp;$C354)</f>
        <v>0</v>
      </c>
      <c r="I354" s="3094" t="s">
        <v>6803</v>
      </c>
      <c r="J354" s="3073"/>
      <c r="K354" s="3091" t="str">
        <f t="shared" si="55"/>
        <v xml:space="preserve">        ----</v>
      </c>
      <c r="L354" s="3072" t="s">
        <v>6799</v>
      </c>
      <c r="M354" s="3094" t="s">
        <v>6803</v>
      </c>
      <c r="N354" s="3073"/>
      <c r="O354" s="3100"/>
      <c r="P354" s="3101"/>
      <c r="Q354" s="3101"/>
      <c r="R354" s="3101"/>
      <c r="S354" s="3102" t="s">
        <v>295</v>
      </c>
      <c r="T354" s="3102" t="s">
        <v>213</v>
      </c>
      <c r="U354" s="3103"/>
      <c r="V354" s="3103" t="s">
        <v>295</v>
      </c>
      <c r="W354" s="3103" t="s">
        <v>6797</v>
      </c>
      <c r="X354" s="3103" t="s">
        <v>213</v>
      </c>
      <c r="Y354" s="3104" t="s">
        <v>164</v>
      </c>
    </row>
    <row r="355" spans="1:25" ht="52" hidden="1">
      <c r="A355" s="1304"/>
      <c r="B355" s="643"/>
      <c r="C355" s="643" t="s">
        <v>2015</v>
      </c>
      <c r="D355" s="3088">
        <v>3</v>
      </c>
      <c r="E355" s="3089" t="str">
        <f t="shared" si="53"/>
        <v xml:space="preserve">        ----</v>
      </c>
      <c r="F355" s="3090" t="s">
        <v>2016</v>
      </c>
      <c r="G355" s="3091" t="str">
        <f t="shared" si="54"/>
        <v xml:space="preserve">        ----</v>
      </c>
      <c r="H355" s="3092">
        <f t="shared" ca="1" si="56"/>
        <v>0</v>
      </c>
      <c r="I355" s="3094" t="s">
        <v>6803</v>
      </c>
      <c r="J355" s="3073"/>
      <c r="K355" s="3091" t="str">
        <f t="shared" si="55"/>
        <v xml:space="preserve">        ----</v>
      </c>
      <c r="L355" s="3072" t="s">
        <v>6799</v>
      </c>
      <c r="M355" s="3094" t="s">
        <v>6803</v>
      </c>
      <c r="N355" s="3073"/>
      <c r="O355" s="3100"/>
      <c r="P355" s="3101"/>
      <c r="Q355" s="3101"/>
      <c r="R355" s="3101"/>
      <c r="S355" s="3102" t="s">
        <v>295</v>
      </c>
      <c r="T355" s="3102" t="s">
        <v>213</v>
      </c>
      <c r="U355" s="3103"/>
      <c r="V355" s="3103" t="s">
        <v>295</v>
      </c>
      <c r="W355" s="3103" t="s">
        <v>6797</v>
      </c>
      <c r="X355" s="3103" t="s">
        <v>213</v>
      </c>
      <c r="Y355" s="3104" t="s">
        <v>164</v>
      </c>
    </row>
    <row r="356" spans="1:25" ht="39" hidden="1">
      <c r="A356" s="1304"/>
      <c r="B356" s="643"/>
      <c r="C356" s="643" t="s">
        <v>2018</v>
      </c>
      <c r="D356" s="3088">
        <v>3</v>
      </c>
      <c r="E356" s="3089" t="str">
        <f t="shared" si="53"/>
        <v xml:space="preserve">        ----</v>
      </c>
      <c r="F356" s="3090" t="s">
        <v>2019</v>
      </c>
      <c r="G356" s="3091" t="str">
        <f t="shared" si="54"/>
        <v xml:space="preserve">        ----</v>
      </c>
      <c r="H356" s="3092">
        <f t="shared" ca="1" si="56"/>
        <v>0</v>
      </c>
      <c r="I356" s="3094" t="s">
        <v>6803</v>
      </c>
      <c r="J356" s="3073"/>
      <c r="K356" s="3091" t="str">
        <f t="shared" si="55"/>
        <v xml:space="preserve">        ----</v>
      </c>
      <c r="L356" s="3072" t="s">
        <v>6799</v>
      </c>
      <c r="M356" s="3094" t="s">
        <v>6803</v>
      </c>
      <c r="N356" s="3073"/>
      <c r="O356" s="3100"/>
      <c r="P356" s="3101"/>
      <c r="Q356" s="3101"/>
      <c r="R356" s="3101"/>
      <c r="S356" s="3102" t="s">
        <v>295</v>
      </c>
      <c r="T356" s="3102" t="s">
        <v>213</v>
      </c>
      <c r="U356" s="3103"/>
      <c r="V356" s="3103" t="s">
        <v>295</v>
      </c>
      <c r="W356" s="3103" t="s">
        <v>6797</v>
      </c>
      <c r="X356" s="3103" t="s">
        <v>213</v>
      </c>
      <c r="Y356" s="3104" t="s">
        <v>164</v>
      </c>
    </row>
    <row r="357" spans="1:25" ht="39" hidden="1">
      <c r="A357" s="1304"/>
      <c r="B357" s="643"/>
      <c r="C357" s="643" t="s">
        <v>2022</v>
      </c>
      <c r="D357" s="3088">
        <v>3</v>
      </c>
      <c r="E357" s="3089" t="str">
        <f t="shared" si="53"/>
        <v xml:space="preserve">        ----</v>
      </c>
      <c r="F357" s="3090" t="s">
        <v>2023</v>
      </c>
      <c r="G357" s="3091" t="str">
        <f t="shared" si="54"/>
        <v xml:space="preserve">        ----</v>
      </c>
      <c r="H357" s="3092">
        <f t="shared" ca="1" si="56"/>
        <v>0</v>
      </c>
      <c r="I357" s="3094" t="s">
        <v>6803</v>
      </c>
      <c r="J357" s="3073"/>
      <c r="K357" s="3091" t="str">
        <f t="shared" si="55"/>
        <v xml:space="preserve">        ----</v>
      </c>
      <c r="L357" s="3072" t="s">
        <v>6799</v>
      </c>
      <c r="M357" s="3094" t="s">
        <v>6803</v>
      </c>
      <c r="N357" s="3073"/>
      <c r="O357" s="3100"/>
      <c r="P357" s="3101"/>
      <c r="Q357" s="3101"/>
      <c r="R357" s="3101"/>
      <c r="S357" s="3102" t="s">
        <v>295</v>
      </c>
      <c r="T357" s="3102" t="s">
        <v>213</v>
      </c>
      <c r="U357" s="3103"/>
      <c r="V357" s="3103" t="s">
        <v>295</v>
      </c>
      <c r="W357" s="3103" t="s">
        <v>6797</v>
      </c>
      <c r="X357" s="3103" t="s">
        <v>213</v>
      </c>
      <c r="Y357" s="3104" t="s">
        <v>164</v>
      </c>
    </row>
    <row r="358" spans="1:25" ht="52" hidden="1">
      <c r="A358" s="1304"/>
      <c r="B358" s="643"/>
      <c r="C358" s="643" t="s">
        <v>2026</v>
      </c>
      <c r="D358" s="3088">
        <v>3</v>
      </c>
      <c r="E358" s="3089" t="str">
        <f t="shared" si="53"/>
        <v xml:space="preserve">        ----</v>
      </c>
      <c r="F358" s="3090" t="s">
        <v>2027</v>
      </c>
      <c r="G358" s="3091" t="str">
        <f t="shared" si="54"/>
        <v xml:space="preserve">        ----</v>
      </c>
      <c r="H358" s="3092">
        <f t="shared" ca="1" si="56"/>
        <v>0</v>
      </c>
      <c r="I358" s="3094" t="s">
        <v>6803</v>
      </c>
      <c r="J358" s="3073"/>
      <c r="K358" s="3091" t="str">
        <f t="shared" si="55"/>
        <v xml:space="preserve">        ----</v>
      </c>
      <c r="L358" s="3072" t="s">
        <v>6799</v>
      </c>
      <c r="M358" s="3094" t="s">
        <v>6803</v>
      </c>
      <c r="N358" s="3073"/>
      <c r="O358" s="3100"/>
      <c r="P358" s="3101"/>
      <c r="Q358" s="3101"/>
      <c r="R358" s="3101"/>
      <c r="S358" s="3102" t="s">
        <v>295</v>
      </c>
      <c r="T358" s="3102" t="s">
        <v>213</v>
      </c>
      <c r="U358" s="3103"/>
      <c r="V358" s="3103" t="s">
        <v>295</v>
      </c>
      <c r="W358" s="3103" t="s">
        <v>6797</v>
      </c>
      <c r="X358" s="3103" t="s">
        <v>213</v>
      </c>
      <c r="Y358" s="3104" t="s">
        <v>164</v>
      </c>
    </row>
    <row r="359" spans="1:25" ht="39" hidden="1">
      <c r="A359" s="1304"/>
      <c r="B359" s="643"/>
      <c r="C359" s="643" t="s">
        <v>2030</v>
      </c>
      <c r="D359" s="3088">
        <v>3</v>
      </c>
      <c r="E359" s="3089" t="str">
        <f t="shared" si="53"/>
        <v xml:space="preserve">        ----</v>
      </c>
      <c r="F359" s="3090" t="s">
        <v>2031</v>
      </c>
      <c r="G359" s="3091" t="str">
        <f t="shared" si="54"/>
        <v xml:space="preserve">        ----</v>
      </c>
      <c r="H359" s="3092">
        <f t="shared" ca="1" si="56"/>
        <v>0</v>
      </c>
      <c r="I359" s="3094" t="s">
        <v>6803</v>
      </c>
      <c r="J359" s="3073"/>
      <c r="K359" s="3091" t="str">
        <f t="shared" si="55"/>
        <v xml:space="preserve">        ----</v>
      </c>
      <c r="L359" s="3072" t="s">
        <v>6799</v>
      </c>
      <c r="M359" s="3094" t="s">
        <v>6803</v>
      </c>
      <c r="N359" s="3073"/>
      <c r="O359" s="3100"/>
      <c r="P359" s="3101"/>
      <c r="Q359" s="3101"/>
      <c r="R359" s="3101"/>
      <c r="S359" s="3102" t="s">
        <v>295</v>
      </c>
      <c r="T359" s="3102" t="s">
        <v>213</v>
      </c>
      <c r="U359" s="3103"/>
      <c r="V359" s="3103" t="s">
        <v>295</v>
      </c>
      <c r="W359" s="3103" t="s">
        <v>6797</v>
      </c>
      <c r="X359" s="3103" t="s">
        <v>213</v>
      </c>
      <c r="Y359" s="3104" t="s">
        <v>164</v>
      </c>
    </row>
    <row r="360" spans="1:25" ht="39" hidden="1">
      <c r="A360" s="1304"/>
      <c r="B360" s="643"/>
      <c r="C360" s="643" t="s">
        <v>2035</v>
      </c>
      <c r="D360" s="3088">
        <v>3</v>
      </c>
      <c r="E360" s="3089" t="str">
        <f t="shared" si="53"/>
        <v xml:space="preserve">        ----</v>
      </c>
      <c r="F360" s="3090" t="s">
        <v>2036</v>
      </c>
      <c r="G360" s="3091" t="str">
        <f t="shared" si="54"/>
        <v xml:space="preserve">        ----</v>
      </c>
      <c r="H360" s="3092">
        <f t="shared" ca="1" si="56"/>
        <v>0</v>
      </c>
      <c r="I360" s="3094" t="s">
        <v>6803</v>
      </c>
      <c r="J360" s="3073"/>
      <c r="K360" s="3091" t="str">
        <f t="shared" si="55"/>
        <v xml:space="preserve">        ----</v>
      </c>
      <c r="L360" s="3072" t="s">
        <v>6799</v>
      </c>
      <c r="M360" s="3094" t="s">
        <v>6803</v>
      </c>
      <c r="N360" s="3073"/>
      <c r="O360" s="3100"/>
      <c r="P360" s="3101"/>
      <c r="Q360" s="3101"/>
      <c r="R360" s="3101"/>
      <c r="S360" s="3102" t="s">
        <v>295</v>
      </c>
      <c r="T360" s="3102" t="s">
        <v>213</v>
      </c>
      <c r="U360" s="3103"/>
      <c r="V360" s="3103" t="s">
        <v>295</v>
      </c>
      <c r="W360" s="3103" t="s">
        <v>6797</v>
      </c>
      <c r="X360" s="3103" t="s">
        <v>213</v>
      </c>
      <c r="Y360" s="3104" t="s">
        <v>164</v>
      </c>
    </row>
    <row r="361" spans="1:25" ht="39" hidden="1">
      <c r="A361" s="1304"/>
      <c r="B361" s="643"/>
      <c r="C361" s="643" t="s">
        <v>2038</v>
      </c>
      <c r="D361" s="3088">
        <v>3</v>
      </c>
      <c r="E361" s="3089" t="str">
        <f t="shared" si="53"/>
        <v xml:space="preserve">        ----</v>
      </c>
      <c r="F361" s="3090" t="s">
        <v>2039</v>
      </c>
      <c r="G361" s="3091" t="str">
        <f t="shared" si="54"/>
        <v xml:space="preserve">        ----</v>
      </c>
      <c r="H361" s="3092">
        <f t="shared" ca="1" si="56"/>
        <v>0</v>
      </c>
      <c r="I361" s="3094" t="s">
        <v>6803</v>
      </c>
      <c r="J361" s="3073"/>
      <c r="K361" s="3091" t="str">
        <f t="shared" si="55"/>
        <v xml:space="preserve">        ----</v>
      </c>
      <c r="L361" s="3072" t="s">
        <v>6799</v>
      </c>
      <c r="M361" s="3094" t="s">
        <v>6803</v>
      </c>
      <c r="N361" s="3073"/>
      <c r="O361" s="3100"/>
      <c r="P361" s="3101"/>
      <c r="Q361" s="3101"/>
      <c r="R361" s="3101"/>
      <c r="S361" s="3102" t="s">
        <v>295</v>
      </c>
      <c r="T361" s="3102" t="s">
        <v>213</v>
      </c>
      <c r="U361" s="3103"/>
      <c r="V361" s="3103" t="s">
        <v>295</v>
      </c>
      <c r="W361" s="3103" t="s">
        <v>6797</v>
      </c>
      <c r="X361" s="3103" t="s">
        <v>213</v>
      </c>
      <c r="Y361" s="3104" t="s">
        <v>164</v>
      </c>
    </row>
    <row r="362" spans="1:25" ht="26" hidden="1">
      <c r="A362" s="1304"/>
      <c r="B362" s="643"/>
      <c r="C362" s="643" t="s">
        <v>2042</v>
      </c>
      <c r="D362" s="3088">
        <v>3</v>
      </c>
      <c r="E362" s="3089" t="str">
        <f t="shared" si="53"/>
        <v xml:space="preserve">        ----</v>
      </c>
      <c r="F362" s="3090" t="s">
        <v>2043</v>
      </c>
      <c r="G362" s="3091" t="str">
        <f t="shared" si="54"/>
        <v xml:space="preserve">        ----</v>
      </c>
      <c r="H362" s="3092">
        <f t="shared" ca="1" si="56"/>
        <v>0</v>
      </c>
      <c r="I362" s="3094" t="s">
        <v>6803</v>
      </c>
      <c r="J362" s="3073"/>
      <c r="K362" s="3091" t="str">
        <f t="shared" si="55"/>
        <v xml:space="preserve">        ----</v>
      </c>
      <c r="L362" s="3072" t="s">
        <v>6799</v>
      </c>
      <c r="M362" s="3094" t="s">
        <v>6803</v>
      </c>
      <c r="N362" s="3073"/>
      <c r="O362" s="3100"/>
      <c r="P362" s="3101"/>
      <c r="Q362" s="3101"/>
      <c r="R362" s="3101"/>
      <c r="S362" s="3102" t="s">
        <v>295</v>
      </c>
      <c r="T362" s="3102" t="s">
        <v>213</v>
      </c>
      <c r="U362" s="3103"/>
      <c r="V362" s="3103" t="s">
        <v>295</v>
      </c>
      <c r="W362" s="3103" t="s">
        <v>6797</v>
      </c>
      <c r="X362" s="3103" t="s">
        <v>213</v>
      </c>
      <c r="Y362" s="3104" t="s">
        <v>164</v>
      </c>
    </row>
    <row r="363" spans="1:25" ht="39" hidden="1">
      <c r="A363" s="1304"/>
      <c r="B363" s="643"/>
      <c r="C363" s="643" t="s">
        <v>2045</v>
      </c>
      <c r="D363" s="3088">
        <v>3</v>
      </c>
      <c r="E363" s="3089" t="str">
        <f t="shared" si="53"/>
        <v xml:space="preserve">        ----</v>
      </c>
      <c r="F363" s="3090" t="s">
        <v>2046</v>
      </c>
      <c r="G363" s="3091" t="str">
        <f t="shared" si="54"/>
        <v xml:space="preserve">        ----</v>
      </c>
      <c r="H363" s="3092">
        <f t="shared" ca="1" si="56"/>
        <v>0</v>
      </c>
      <c r="I363" s="3094" t="s">
        <v>6803</v>
      </c>
      <c r="J363" s="3073"/>
      <c r="K363" s="3091" t="str">
        <f t="shared" si="55"/>
        <v xml:space="preserve">        ----</v>
      </c>
      <c r="L363" s="3072" t="s">
        <v>6799</v>
      </c>
      <c r="M363" s="3094" t="s">
        <v>6803</v>
      </c>
      <c r="N363" s="3073"/>
      <c r="O363" s="3100"/>
      <c r="P363" s="3101"/>
      <c r="Q363" s="3101"/>
      <c r="R363" s="3101"/>
      <c r="S363" s="3102" t="s">
        <v>295</v>
      </c>
      <c r="T363" s="3102" t="s">
        <v>213</v>
      </c>
      <c r="U363" s="3103"/>
      <c r="V363" s="3103" t="s">
        <v>295</v>
      </c>
      <c r="W363" s="3103" t="s">
        <v>6797</v>
      </c>
      <c r="X363" s="3103" t="s">
        <v>213</v>
      </c>
      <c r="Y363" s="3104" t="s">
        <v>164</v>
      </c>
    </row>
    <row r="364" spans="1:25" ht="39" hidden="1">
      <c r="A364" s="1304"/>
      <c r="B364" s="643"/>
      <c r="C364" s="643" t="s">
        <v>2048</v>
      </c>
      <c r="D364" s="3088">
        <v>3</v>
      </c>
      <c r="E364" s="3089" t="str">
        <f t="shared" si="53"/>
        <v xml:space="preserve">        ----</v>
      </c>
      <c r="F364" s="3090" t="s">
        <v>2049</v>
      </c>
      <c r="G364" s="3091" t="str">
        <f t="shared" si="54"/>
        <v xml:space="preserve">        ----</v>
      </c>
      <c r="H364" s="3092">
        <f t="shared" ca="1" si="56"/>
        <v>0</v>
      </c>
      <c r="I364" s="3094" t="s">
        <v>6803</v>
      </c>
      <c r="J364" s="3073"/>
      <c r="K364" s="3091" t="str">
        <f t="shared" si="55"/>
        <v xml:space="preserve">        ----</v>
      </c>
      <c r="L364" s="3072" t="s">
        <v>6799</v>
      </c>
      <c r="M364" s="3094" t="s">
        <v>6803</v>
      </c>
      <c r="N364" s="3073"/>
      <c r="O364" s="3100"/>
      <c r="P364" s="3101"/>
      <c r="Q364" s="3101"/>
      <c r="R364" s="3101"/>
      <c r="S364" s="3102" t="s">
        <v>295</v>
      </c>
      <c r="T364" s="3102" t="s">
        <v>213</v>
      </c>
      <c r="U364" s="3103"/>
      <c r="V364" s="3103" t="s">
        <v>295</v>
      </c>
      <c r="W364" s="3103" t="s">
        <v>6797</v>
      </c>
      <c r="X364" s="3103" t="s">
        <v>213</v>
      </c>
      <c r="Y364" s="3104" t="s">
        <v>164</v>
      </c>
    </row>
    <row r="365" spans="1:25" ht="39" hidden="1">
      <c r="A365" s="1304"/>
      <c r="B365" s="643"/>
      <c r="C365" s="643" t="s">
        <v>2051</v>
      </c>
      <c r="D365" s="3088">
        <v>3</v>
      </c>
      <c r="E365" s="3089" t="str">
        <f t="shared" si="53"/>
        <v xml:space="preserve">        ----</v>
      </c>
      <c r="F365" s="3090" t="s">
        <v>2052</v>
      </c>
      <c r="G365" s="3091" t="str">
        <f t="shared" si="54"/>
        <v xml:space="preserve">        ----</v>
      </c>
      <c r="H365" s="3092">
        <f t="shared" ca="1" si="56"/>
        <v>0</v>
      </c>
      <c r="I365" s="3094" t="s">
        <v>6803</v>
      </c>
      <c r="J365" s="3073"/>
      <c r="K365" s="3091" t="str">
        <f t="shared" si="55"/>
        <v xml:space="preserve">        ----</v>
      </c>
      <c r="L365" s="3072" t="s">
        <v>6799</v>
      </c>
      <c r="M365" s="3094" t="s">
        <v>6803</v>
      </c>
      <c r="N365" s="3073"/>
      <c r="O365" s="3100"/>
      <c r="P365" s="3101"/>
      <c r="Q365" s="3101"/>
      <c r="R365" s="3101"/>
      <c r="S365" s="3102" t="s">
        <v>295</v>
      </c>
      <c r="T365" s="3102" t="s">
        <v>213</v>
      </c>
      <c r="U365" s="3103"/>
      <c r="V365" s="3103" t="s">
        <v>295</v>
      </c>
      <c r="W365" s="3103" t="s">
        <v>6797</v>
      </c>
      <c r="X365" s="3103" t="s">
        <v>213</v>
      </c>
      <c r="Y365" s="3104" t="s">
        <v>164</v>
      </c>
    </row>
    <row r="366" spans="1:25" ht="39" hidden="1">
      <c r="A366" s="1304"/>
      <c r="B366" s="643"/>
      <c r="C366" s="643" t="s">
        <v>2055</v>
      </c>
      <c r="D366" s="3088">
        <v>3</v>
      </c>
      <c r="E366" s="3089" t="str">
        <f t="shared" si="53"/>
        <v xml:space="preserve">        ----</v>
      </c>
      <c r="F366" s="3090" t="s">
        <v>2056</v>
      </c>
      <c r="G366" s="3091" t="str">
        <f t="shared" si="54"/>
        <v xml:space="preserve">        ----</v>
      </c>
      <c r="H366" s="3092">
        <f t="shared" ca="1" si="56"/>
        <v>0</v>
      </c>
      <c r="I366" s="3094" t="s">
        <v>6803</v>
      </c>
      <c r="J366" s="3073"/>
      <c r="K366" s="3091" t="str">
        <f t="shared" si="55"/>
        <v xml:space="preserve">        ----</v>
      </c>
      <c r="L366" s="3072" t="s">
        <v>6799</v>
      </c>
      <c r="M366" s="3094" t="s">
        <v>6803</v>
      </c>
      <c r="N366" s="3073"/>
      <c r="O366" s="3100"/>
      <c r="P366" s="3101"/>
      <c r="Q366" s="3101"/>
      <c r="R366" s="3101"/>
      <c r="S366" s="3102" t="s">
        <v>295</v>
      </c>
      <c r="T366" s="3102" t="s">
        <v>213</v>
      </c>
      <c r="U366" s="3103"/>
      <c r="V366" s="3103" t="s">
        <v>295</v>
      </c>
      <c r="W366" s="3103" t="s">
        <v>6797</v>
      </c>
      <c r="X366" s="3103" t="s">
        <v>213</v>
      </c>
      <c r="Y366" s="3104" t="s">
        <v>164</v>
      </c>
    </row>
    <row r="367" spans="1:25" ht="39" hidden="1">
      <c r="A367" s="1304"/>
      <c r="B367" s="643"/>
      <c r="C367" s="643" t="s">
        <v>2058</v>
      </c>
      <c r="D367" s="3088">
        <v>3</v>
      </c>
      <c r="E367" s="3089" t="str">
        <f t="shared" si="53"/>
        <v xml:space="preserve">        ----</v>
      </c>
      <c r="F367" s="3090" t="s">
        <v>2059</v>
      </c>
      <c r="G367" s="3091" t="str">
        <f t="shared" si="54"/>
        <v xml:space="preserve">        ----</v>
      </c>
      <c r="H367" s="3092">
        <f t="shared" ca="1" si="56"/>
        <v>0</v>
      </c>
      <c r="I367" s="3094" t="s">
        <v>6803</v>
      </c>
      <c r="J367" s="3073"/>
      <c r="K367" s="3091" t="str">
        <f t="shared" si="55"/>
        <v xml:space="preserve">        ----</v>
      </c>
      <c r="L367" s="3072" t="s">
        <v>6799</v>
      </c>
      <c r="M367" s="3094" t="s">
        <v>6803</v>
      </c>
      <c r="N367" s="3073"/>
      <c r="O367" s="3100"/>
      <c r="P367" s="3101"/>
      <c r="Q367" s="3101"/>
      <c r="R367" s="3101"/>
      <c r="S367" s="3102" t="s">
        <v>295</v>
      </c>
      <c r="T367" s="3102" t="s">
        <v>213</v>
      </c>
      <c r="U367" s="3103"/>
      <c r="V367" s="3103" t="s">
        <v>295</v>
      </c>
      <c r="W367" s="3103" t="s">
        <v>6797</v>
      </c>
      <c r="X367" s="3103" t="s">
        <v>213</v>
      </c>
      <c r="Y367" s="3104" t="s">
        <v>164</v>
      </c>
    </row>
    <row r="368" spans="1:25" ht="26" hidden="1">
      <c r="A368" s="1304"/>
      <c r="B368" s="643"/>
      <c r="C368" s="643" t="s">
        <v>2061</v>
      </c>
      <c r="D368" s="3088">
        <v>3</v>
      </c>
      <c r="E368" s="3089" t="str">
        <f t="shared" si="53"/>
        <v xml:space="preserve">        ----</v>
      </c>
      <c r="F368" s="3090" t="s">
        <v>2062</v>
      </c>
      <c r="G368" s="3091" t="str">
        <f t="shared" si="54"/>
        <v xml:space="preserve">        ----</v>
      </c>
      <c r="H368" s="3092">
        <f t="shared" ca="1" si="56"/>
        <v>0</v>
      </c>
      <c r="I368" s="3094" t="s">
        <v>6803</v>
      </c>
      <c r="J368" s="3073"/>
      <c r="K368" s="3091" t="str">
        <f t="shared" si="55"/>
        <v xml:space="preserve">        ----</v>
      </c>
      <c r="L368" s="3072" t="s">
        <v>6799</v>
      </c>
      <c r="M368" s="3094" t="s">
        <v>6803</v>
      </c>
      <c r="N368" s="3073"/>
      <c r="O368" s="3100"/>
      <c r="P368" s="3101"/>
      <c r="Q368" s="3101"/>
      <c r="R368" s="3101"/>
      <c r="S368" s="3102" t="s">
        <v>295</v>
      </c>
      <c r="T368" s="3102" t="s">
        <v>213</v>
      </c>
      <c r="U368" s="3103"/>
      <c r="V368" s="3103" t="s">
        <v>295</v>
      </c>
      <c r="W368" s="3103" t="s">
        <v>6797</v>
      </c>
      <c r="X368" s="3103" t="s">
        <v>213</v>
      </c>
      <c r="Y368" s="3104" t="s">
        <v>164</v>
      </c>
    </row>
    <row r="369" spans="1:25" ht="26" hidden="1">
      <c r="A369" s="1304"/>
      <c r="B369" s="643"/>
      <c r="C369" s="643" t="s">
        <v>2100</v>
      </c>
      <c r="D369" s="3088">
        <v>3</v>
      </c>
      <c r="E369" s="3089" t="str">
        <f t="shared" si="53"/>
        <v xml:space="preserve">        ----</v>
      </c>
      <c r="F369" s="3090" t="s">
        <v>887</v>
      </c>
      <c r="G369" s="3091" t="str">
        <f t="shared" si="54"/>
        <v xml:space="preserve">        ----</v>
      </c>
      <c r="H369" s="3092" t="s">
        <v>6799</v>
      </c>
      <c r="I369" s="3094" t="s">
        <v>6803</v>
      </c>
      <c r="J369" s="3073"/>
      <c r="K369" s="3091" t="str">
        <f t="shared" si="55"/>
        <v xml:space="preserve">        ----</v>
      </c>
      <c r="L369" s="3072" t="s">
        <v>6799</v>
      </c>
      <c r="M369" s="3094" t="s">
        <v>6803</v>
      </c>
      <c r="N369" s="3073"/>
      <c r="O369" s="3100"/>
      <c r="P369" s="3101"/>
      <c r="Q369" s="3101"/>
      <c r="R369" s="3101"/>
      <c r="S369" s="3102" t="s">
        <v>295</v>
      </c>
      <c r="T369" s="3102" t="s">
        <v>213</v>
      </c>
      <c r="U369" s="3103"/>
      <c r="V369" s="3103" t="s">
        <v>295</v>
      </c>
      <c r="W369" s="3103" t="s">
        <v>6797</v>
      </c>
      <c r="X369" s="3103" t="s">
        <v>6798</v>
      </c>
      <c r="Y369" s="3104" t="s">
        <v>164</v>
      </c>
    </row>
    <row r="370" spans="1:25" ht="26" hidden="1">
      <c r="A370" s="1304"/>
      <c r="B370" s="643"/>
      <c r="C370" s="643" t="s">
        <v>1351</v>
      </c>
      <c r="D370" s="3088">
        <v>3</v>
      </c>
      <c r="E370" s="3089" t="str">
        <f t="shared" si="53"/>
        <v xml:space="preserve">        ----</v>
      </c>
      <c r="F370" s="3090" t="s">
        <v>1352</v>
      </c>
      <c r="G370" s="3091" t="str">
        <f t="shared" si="54"/>
        <v xml:space="preserve">        ----</v>
      </c>
      <c r="H370" s="3092" t="s">
        <v>6799</v>
      </c>
      <c r="I370" s="3094" t="s">
        <v>6803</v>
      </c>
      <c r="J370" s="3073"/>
      <c r="K370" s="3091" t="str">
        <f t="shared" si="55"/>
        <v xml:space="preserve">        ----</v>
      </c>
      <c r="L370" s="3072" t="s">
        <v>6799</v>
      </c>
      <c r="M370" s="3094" t="s">
        <v>6803</v>
      </c>
      <c r="N370" s="3073"/>
      <c r="O370" s="3100"/>
      <c r="P370" s="3101"/>
      <c r="Q370" s="3101"/>
      <c r="R370" s="3101"/>
      <c r="S370" s="3102" t="s">
        <v>295</v>
      </c>
      <c r="T370" s="3102" t="s">
        <v>213</v>
      </c>
      <c r="U370" s="3103"/>
      <c r="V370" s="3103" t="s">
        <v>295</v>
      </c>
      <c r="W370" s="3103" t="s">
        <v>6797</v>
      </c>
      <c r="X370" s="3103" t="s">
        <v>6798</v>
      </c>
      <c r="Y370" s="3104" t="s">
        <v>164</v>
      </c>
    </row>
    <row r="371" spans="1:25" ht="17" hidden="1">
      <c r="A371" s="1304"/>
      <c r="B371" s="643"/>
      <c r="C371" s="643" t="s">
        <v>1347</v>
      </c>
      <c r="D371" s="3088">
        <v>3</v>
      </c>
      <c r="E371" s="3089" t="str">
        <f t="shared" si="53"/>
        <v xml:space="preserve">        ----</v>
      </c>
      <c r="F371" s="3090" t="s">
        <v>6460</v>
      </c>
      <c r="G371" s="3091" t="str">
        <f t="shared" si="54"/>
        <v xml:space="preserve">        ----</v>
      </c>
      <c r="H371" s="3092" t="s">
        <v>6799</v>
      </c>
      <c r="I371" s="3094" t="s">
        <v>6803</v>
      </c>
      <c r="J371" s="3073"/>
      <c r="K371" s="3091" t="str">
        <f t="shared" si="55"/>
        <v xml:space="preserve">        ----</v>
      </c>
      <c r="L371" s="3072" t="s">
        <v>6799</v>
      </c>
      <c r="M371" s="3094" t="s">
        <v>6803</v>
      </c>
      <c r="N371" s="3073"/>
      <c r="O371" s="3100"/>
      <c r="P371" s="3101"/>
      <c r="Q371" s="3101"/>
      <c r="R371" s="3101"/>
      <c r="S371" s="3102" t="s">
        <v>295</v>
      </c>
      <c r="T371" s="3102" t="s">
        <v>213</v>
      </c>
      <c r="U371" s="3103"/>
      <c r="V371" s="3103" t="s">
        <v>295</v>
      </c>
      <c r="W371" s="3103" t="s">
        <v>6797</v>
      </c>
      <c r="X371" s="3103" t="s">
        <v>6800</v>
      </c>
      <c r="Y371" s="3104" t="s">
        <v>164</v>
      </c>
    </row>
    <row r="372" spans="1:25" ht="17" hidden="1">
      <c r="A372" s="1304"/>
      <c r="B372" s="643"/>
      <c r="C372" s="643" t="s">
        <v>2156</v>
      </c>
      <c r="D372" s="3088">
        <v>3</v>
      </c>
      <c r="E372" s="3089" t="str">
        <f t="shared" si="53"/>
        <v xml:space="preserve">        ----</v>
      </c>
      <c r="F372" s="3090" t="s">
        <v>2157</v>
      </c>
      <c r="G372" s="3091" t="str">
        <f t="shared" si="54"/>
        <v xml:space="preserve">        ----</v>
      </c>
      <c r="H372" s="3092">
        <f t="shared" ref="H372:H380" ca="1" si="57">INDIRECT("Notes!CheckA"&amp;$C372)</f>
        <v>0</v>
      </c>
      <c r="I372" s="3094" t="s">
        <v>6803</v>
      </c>
      <c r="J372" s="3073"/>
      <c r="K372" s="3091" t="str">
        <f t="shared" si="55"/>
        <v xml:space="preserve">        ----</v>
      </c>
      <c r="L372" s="3072">
        <f t="shared" ref="L372:L380" ca="1" si="58">INDIRECT("Notes!CheckB"&amp;$C372)</f>
        <v>0</v>
      </c>
      <c r="M372" s="3094" t="s">
        <v>6803</v>
      </c>
      <c r="N372" s="3073"/>
      <c r="O372" s="3100"/>
      <c r="P372" s="3101"/>
      <c r="Q372" s="3101"/>
      <c r="R372" s="3101"/>
      <c r="S372" s="3102" t="s">
        <v>295</v>
      </c>
      <c r="T372" s="3102" t="s">
        <v>213</v>
      </c>
      <c r="U372" s="3103"/>
      <c r="V372" s="3103" t="s">
        <v>295</v>
      </c>
      <c r="W372" s="3103" t="s">
        <v>6797</v>
      </c>
      <c r="X372" s="3103" t="s">
        <v>6798</v>
      </c>
      <c r="Y372" s="3104" t="s">
        <v>164</v>
      </c>
    </row>
    <row r="373" spans="1:25" ht="17" hidden="1">
      <c r="A373" s="1304"/>
      <c r="B373" s="643"/>
      <c r="C373" s="643" t="s">
        <v>2176</v>
      </c>
      <c r="D373" s="3088">
        <v>3</v>
      </c>
      <c r="E373" s="3089" t="str">
        <f t="shared" si="53"/>
        <v xml:space="preserve">        ----</v>
      </c>
      <c r="F373" s="3090" t="s">
        <v>2177</v>
      </c>
      <c r="G373" s="3091" t="str">
        <f t="shared" si="54"/>
        <v xml:space="preserve">        ----</v>
      </c>
      <c r="H373" s="3092">
        <f t="shared" ca="1" si="57"/>
        <v>0</v>
      </c>
      <c r="I373" s="3094" t="s">
        <v>6803</v>
      </c>
      <c r="J373" s="3073"/>
      <c r="K373" s="3091" t="str">
        <f t="shared" si="55"/>
        <v xml:space="preserve">        ----</v>
      </c>
      <c r="L373" s="3072">
        <f t="shared" ca="1" si="58"/>
        <v>0</v>
      </c>
      <c r="M373" s="3094" t="s">
        <v>6803</v>
      </c>
      <c r="N373" s="3073"/>
      <c r="O373" s="3100"/>
      <c r="P373" s="3101"/>
      <c r="Q373" s="3101"/>
      <c r="R373" s="3101"/>
      <c r="S373" s="3102" t="s">
        <v>295</v>
      </c>
      <c r="T373" s="3102" t="s">
        <v>213</v>
      </c>
      <c r="U373" s="3103"/>
      <c r="V373" s="3103" t="s">
        <v>295</v>
      </c>
      <c r="W373" s="3103" t="s">
        <v>6797</v>
      </c>
      <c r="X373" s="3103" t="s">
        <v>6798</v>
      </c>
      <c r="Y373" s="3104" t="s">
        <v>164</v>
      </c>
    </row>
    <row r="374" spans="1:25" ht="17" hidden="1">
      <c r="A374" s="1304"/>
      <c r="B374" s="643"/>
      <c r="C374" s="643" t="s">
        <v>2178</v>
      </c>
      <c r="D374" s="3088">
        <v>3</v>
      </c>
      <c r="E374" s="3089" t="str">
        <f t="shared" si="53"/>
        <v xml:space="preserve">        ----</v>
      </c>
      <c r="F374" s="3090" t="s">
        <v>2179</v>
      </c>
      <c r="G374" s="3091" t="str">
        <f t="shared" si="54"/>
        <v xml:space="preserve">        ----</v>
      </c>
      <c r="H374" s="3092">
        <f t="shared" ca="1" si="57"/>
        <v>0</v>
      </c>
      <c r="I374" s="3094" t="s">
        <v>6803</v>
      </c>
      <c r="J374" s="3073"/>
      <c r="K374" s="3091" t="str">
        <f t="shared" si="55"/>
        <v xml:space="preserve">        ----</v>
      </c>
      <c r="L374" s="3072">
        <f t="shared" ca="1" si="58"/>
        <v>0</v>
      </c>
      <c r="M374" s="3094" t="s">
        <v>6803</v>
      </c>
      <c r="N374" s="3073"/>
      <c r="O374" s="3100"/>
      <c r="P374" s="3101"/>
      <c r="Q374" s="3101"/>
      <c r="R374" s="3101"/>
      <c r="S374" s="3102" t="s">
        <v>295</v>
      </c>
      <c r="T374" s="3102" t="s">
        <v>213</v>
      </c>
      <c r="U374" s="3103"/>
      <c r="V374" s="3103" t="s">
        <v>295</v>
      </c>
      <c r="W374" s="3103" t="s">
        <v>6797</v>
      </c>
      <c r="X374" s="3103" t="s">
        <v>6798</v>
      </c>
      <c r="Y374" s="3104" t="s">
        <v>164</v>
      </c>
    </row>
    <row r="375" spans="1:25" ht="26" hidden="1">
      <c r="A375" s="1304"/>
      <c r="B375" s="643"/>
      <c r="C375" s="643" t="s">
        <v>2111</v>
      </c>
      <c r="D375" s="3088">
        <v>3</v>
      </c>
      <c r="E375" s="3089" t="str">
        <f t="shared" si="53"/>
        <v xml:space="preserve">        ----</v>
      </c>
      <c r="F375" s="3090" t="s">
        <v>2112</v>
      </c>
      <c r="G375" s="3091" t="str">
        <f t="shared" si="54"/>
        <v xml:space="preserve">        ----</v>
      </c>
      <c r="H375" s="3092">
        <f t="shared" ca="1" si="57"/>
        <v>0</v>
      </c>
      <c r="I375" s="3094" t="s">
        <v>6803</v>
      </c>
      <c r="J375" s="3073"/>
      <c r="K375" s="3091" t="str">
        <f t="shared" si="55"/>
        <v xml:space="preserve">        ----</v>
      </c>
      <c r="L375" s="3072">
        <f t="shared" ca="1" si="58"/>
        <v>0</v>
      </c>
      <c r="M375" s="3094" t="s">
        <v>6803</v>
      </c>
      <c r="N375" s="3073"/>
      <c r="O375" s="3100"/>
      <c r="P375" s="3101"/>
      <c r="Q375" s="3101"/>
      <c r="R375" s="3101"/>
      <c r="S375" s="3102" t="s">
        <v>295</v>
      </c>
      <c r="T375" s="3102" t="s">
        <v>213</v>
      </c>
      <c r="U375" s="3103"/>
      <c r="V375" s="3103" t="s">
        <v>295</v>
      </c>
      <c r="W375" s="3103" t="s">
        <v>6797</v>
      </c>
      <c r="X375" s="3103" t="s">
        <v>6798</v>
      </c>
      <c r="Y375" s="3104" t="s">
        <v>119</v>
      </c>
    </row>
    <row r="376" spans="1:25" ht="26" hidden="1">
      <c r="A376" s="1304"/>
      <c r="B376" s="643"/>
      <c r="C376" s="643" t="s">
        <v>2113</v>
      </c>
      <c r="D376" s="3088">
        <v>3</v>
      </c>
      <c r="E376" s="3089" t="str">
        <f t="shared" si="53"/>
        <v xml:space="preserve">        ----</v>
      </c>
      <c r="F376" s="3090" t="s">
        <v>2114</v>
      </c>
      <c r="G376" s="3091" t="str">
        <f t="shared" si="54"/>
        <v xml:space="preserve">        ----</v>
      </c>
      <c r="H376" s="3092">
        <f t="shared" ca="1" si="57"/>
        <v>0</v>
      </c>
      <c r="I376" s="3094" t="s">
        <v>6803</v>
      </c>
      <c r="J376" s="3073"/>
      <c r="K376" s="3091" t="str">
        <f t="shared" si="55"/>
        <v xml:space="preserve">        ----</v>
      </c>
      <c r="L376" s="3072">
        <f t="shared" ca="1" si="58"/>
        <v>0</v>
      </c>
      <c r="M376" s="3094" t="s">
        <v>6803</v>
      </c>
      <c r="N376" s="3073"/>
      <c r="O376" s="3100"/>
      <c r="P376" s="3101"/>
      <c r="Q376" s="3101"/>
      <c r="R376" s="3101"/>
      <c r="S376" s="3102" t="s">
        <v>295</v>
      </c>
      <c r="T376" s="3102" t="s">
        <v>213</v>
      </c>
      <c r="U376" s="3103"/>
      <c r="V376" s="3103" t="s">
        <v>295</v>
      </c>
      <c r="W376" s="3103" t="s">
        <v>6797</v>
      </c>
      <c r="X376" s="3103" t="s">
        <v>6798</v>
      </c>
      <c r="Y376" s="3104" t="s">
        <v>119</v>
      </c>
    </row>
    <row r="377" spans="1:25" ht="26" hidden="1">
      <c r="A377" s="1304"/>
      <c r="B377" s="643"/>
      <c r="C377" s="643" t="s">
        <v>2115</v>
      </c>
      <c r="D377" s="3088">
        <v>3</v>
      </c>
      <c r="E377" s="3089" t="str">
        <f t="shared" si="53"/>
        <v xml:space="preserve">        ----</v>
      </c>
      <c r="F377" s="3090" t="s">
        <v>2116</v>
      </c>
      <c r="G377" s="3091" t="str">
        <f t="shared" si="54"/>
        <v xml:space="preserve">        ----</v>
      </c>
      <c r="H377" s="3092">
        <f t="shared" ca="1" si="57"/>
        <v>0</v>
      </c>
      <c r="I377" s="3094" t="s">
        <v>6803</v>
      </c>
      <c r="J377" s="3073"/>
      <c r="K377" s="3091" t="str">
        <f t="shared" si="55"/>
        <v xml:space="preserve">        ----</v>
      </c>
      <c r="L377" s="3072">
        <f t="shared" ca="1" si="58"/>
        <v>0</v>
      </c>
      <c r="M377" s="3094" t="s">
        <v>6803</v>
      </c>
      <c r="N377" s="3073"/>
      <c r="O377" s="3100"/>
      <c r="P377" s="3101"/>
      <c r="Q377" s="3101"/>
      <c r="R377" s="3101"/>
      <c r="S377" s="3102" t="s">
        <v>295</v>
      </c>
      <c r="T377" s="3102" t="s">
        <v>213</v>
      </c>
      <c r="U377" s="3103"/>
      <c r="V377" s="3103" t="s">
        <v>295</v>
      </c>
      <c r="W377" s="3103" t="s">
        <v>6797</v>
      </c>
      <c r="X377" s="3103" t="s">
        <v>6798</v>
      </c>
      <c r="Y377" s="3104" t="s">
        <v>119</v>
      </c>
    </row>
    <row r="378" spans="1:25" ht="26" hidden="1">
      <c r="A378" s="1304"/>
      <c r="B378" s="643"/>
      <c r="C378" s="643" t="s">
        <v>2117</v>
      </c>
      <c r="D378" s="3088">
        <v>3</v>
      </c>
      <c r="E378" s="3089" t="str">
        <f t="shared" si="53"/>
        <v xml:space="preserve">        ----</v>
      </c>
      <c r="F378" s="3090" t="s">
        <v>2118</v>
      </c>
      <c r="G378" s="3091" t="str">
        <f t="shared" si="54"/>
        <v xml:space="preserve">        ----</v>
      </c>
      <c r="H378" s="3092">
        <f t="shared" ca="1" si="57"/>
        <v>0</v>
      </c>
      <c r="I378" s="3094" t="s">
        <v>6803</v>
      </c>
      <c r="J378" s="3073"/>
      <c r="K378" s="3091" t="str">
        <f t="shared" si="55"/>
        <v xml:space="preserve">        ----</v>
      </c>
      <c r="L378" s="3072">
        <f t="shared" ca="1" si="58"/>
        <v>0</v>
      </c>
      <c r="M378" s="3094" t="s">
        <v>6803</v>
      </c>
      <c r="N378" s="3073"/>
      <c r="O378" s="3100"/>
      <c r="P378" s="3101"/>
      <c r="Q378" s="3101"/>
      <c r="R378" s="3101"/>
      <c r="S378" s="3102" t="s">
        <v>295</v>
      </c>
      <c r="T378" s="3102" t="s">
        <v>213</v>
      </c>
      <c r="U378" s="3103"/>
      <c r="V378" s="3103" t="s">
        <v>295</v>
      </c>
      <c r="W378" s="3103" t="s">
        <v>6797</v>
      </c>
      <c r="X378" s="3103" t="s">
        <v>6798</v>
      </c>
      <c r="Y378" s="3104" t="s">
        <v>119</v>
      </c>
    </row>
    <row r="379" spans="1:25" ht="39" hidden="1">
      <c r="A379" s="1304"/>
      <c r="B379" s="643"/>
      <c r="C379" s="643" t="s">
        <v>2120</v>
      </c>
      <c r="D379" s="3088">
        <v>3</v>
      </c>
      <c r="E379" s="3089" t="str">
        <f t="shared" si="53"/>
        <v xml:space="preserve">        ----</v>
      </c>
      <c r="F379" s="3090" t="s">
        <v>2121</v>
      </c>
      <c r="G379" s="3091" t="str">
        <f t="shared" si="54"/>
        <v xml:space="preserve">        ----</v>
      </c>
      <c r="H379" s="3092">
        <f t="shared" ca="1" si="57"/>
        <v>0</v>
      </c>
      <c r="I379" s="3094" t="s">
        <v>6803</v>
      </c>
      <c r="J379" s="3073"/>
      <c r="K379" s="3091" t="str">
        <f t="shared" si="55"/>
        <v xml:space="preserve">        ----</v>
      </c>
      <c r="L379" s="3072">
        <f t="shared" ca="1" si="58"/>
        <v>0</v>
      </c>
      <c r="M379" s="3094" t="s">
        <v>6803</v>
      </c>
      <c r="N379" s="3073"/>
      <c r="O379" s="3100"/>
      <c r="P379" s="3101"/>
      <c r="Q379" s="3101"/>
      <c r="R379" s="3101"/>
      <c r="S379" s="3102" t="s">
        <v>295</v>
      </c>
      <c r="T379" s="3102" t="s">
        <v>213</v>
      </c>
      <c r="U379" s="3103"/>
      <c r="V379" s="3103" t="s">
        <v>295</v>
      </c>
      <c r="W379" s="3103" t="s">
        <v>6797</v>
      </c>
      <c r="X379" s="3103" t="s">
        <v>6798</v>
      </c>
      <c r="Y379" s="3104" t="s">
        <v>119</v>
      </c>
    </row>
    <row r="380" spans="1:25" ht="39" hidden="1">
      <c r="A380" s="1304"/>
      <c r="B380" s="643"/>
      <c r="C380" s="643" t="s">
        <v>2125</v>
      </c>
      <c r="D380" s="3088">
        <v>3</v>
      </c>
      <c r="E380" s="3089" t="str">
        <f t="shared" si="53"/>
        <v xml:space="preserve">        ----</v>
      </c>
      <c r="F380" s="3090" t="s">
        <v>2126</v>
      </c>
      <c r="G380" s="3091" t="str">
        <f t="shared" si="54"/>
        <v xml:space="preserve">        ----</v>
      </c>
      <c r="H380" s="3092">
        <f t="shared" ca="1" si="57"/>
        <v>0</v>
      </c>
      <c r="I380" s="3094" t="s">
        <v>6803</v>
      </c>
      <c r="J380" s="3073"/>
      <c r="K380" s="3091" t="str">
        <f t="shared" si="55"/>
        <v xml:space="preserve">        ----</v>
      </c>
      <c r="L380" s="3072">
        <f t="shared" ca="1" si="58"/>
        <v>0</v>
      </c>
      <c r="M380" s="3094" t="s">
        <v>6803</v>
      </c>
      <c r="N380" s="3073"/>
      <c r="O380" s="3100"/>
      <c r="P380" s="3101"/>
      <c r="Q380" s="3101"/>
      <c r="R380" s="3101"/>
      <c r="S380" s="3102" t="s">
        <v>295</v>
      </c>
      <c r="T380" s="3102" t="s">
        <v>213</v>
      </c>
      <c r="U380" s="3103"/>
      <c r="V380" s="3103" t="s">
        <v>295</v>
      </c>
      <c r="W380" s="3103" t="s">
        <v>6797</v>
      </c>
      <c r="X380" s="3103" t="s">
        <v>6798</v>
      </c>
      <c r="Y380" s="3104" t="s">
        <v>119</v>
      </c>
    </row>
    <row r="381" spans="1:25" ht="26" hidden="1">
      <c r="A381" s="1304"/>
      <c r="B381" s="643"/>
      <c r="C381" s="643" t="s">
        <v>2127</v>
      </c>
      <c r="D381" s="3088">
        <v>3</v>
      </c>
      <c r="E381" s="3089" t="str">
        <f t="shared" si="53"/>
        <v xml:space="preserve">        ----</v>
      </c>
      <c r="F381" s="3090" t="s">
        <v>2128</v>
      </c>
      <c r="G381" s="3091" t="str">
        <f t="shared" si="54"/>
        <v xml:space="preserve">        ----</v>
      </c>
      <c r="H381" s="3092" t="s">
        <v>6799</v>
      </c>
      <c r="I381" s="3094" t="s">
        <v>6803</v>
      </c>
      <c r="J381" s="3073"/>
      <c r="K381" s="3091" t="str">
        <f t="shared" si="55"/>
        <v xml:space="preserve">        ----</v>
      </c>
      <c r="L381" s="3072" t="s">
        <v>6799</v>
      </c>
      <c r="M381" s="3094" t="s">
        <v>6803</v>
      </c>
      <c r="N381" s="3073"/>
      <c r="O381" s="3100"/>
      <c r="P381" s="3101"/>
      <c r="Q381" s="3101"/>
      <c r="R381" s="3101"/>
      <c r="S381" s="3102" t="s">
        <v>295</v>
      </c>
      <c r="T381" s="3102" t="s">
        <v>213</v>
      </c>
      <c r="U381" s="3103"/>
      <c r="V381" s="3103" t="s">
        <v>295</v>
      </c>
      <c r="W381" s="3103" t="s">
        <v>145</v>
      </c>
      <c r="X381" s="3103" t="s">
        <v>6800</v>
      </c>
      <c r="Y381" s="3104" t="s">
        <v>119</v>
      </c>
    </row>
    <row r="382" spans="1:25" ht="52" hidden="1">
      <c r="A382" s="1304"/>
      <c r="B382" s="643"/>
      <c r="C382" s="643" t="s">
        <v>2149</v>
      </c>
      <c r="D382" s="3088">
        <v>3</v>
      </c>
      <c r="E382" s="3089" t="str">
        <f t="shared" si="53"/>
        <v xml:space="preserve">        ----</v>
      </c>
      <c r="F382" s="3090" t="s">
        <v>2159</v>
      </c>
      <c r="G382" s="3091" t="str">
        <f t="shared" si="54"/>
        <v xml:space="preserve">        ----</v>
      </c>
      <c r="H382" s="3092">
        <f ca="1">INDIRECT("Notes!CheckA"&amp;$C382)</f>
        <v>0</v>
      </c>
      <c r="I382" s="3094" t="s">
        <v>6803</v>
      </c>
      <c r="J382" s="3073"/>
      <c r="K382" s="3091" t="str">
        <f t="shared" si="55"/>
        <v xml:space="preserve">        ----</v>
      </c>
      <c r="L382" s="3072" t="s">
        <v>6799</v>
      </c>
      <c r="M382" s="3094" t="s">
        <v>6803</v>
      </c>
      <c r="N382" s="3073"/>
      <c r="O382" s="3100"/>
      <c r="P382" s="3101"/>
      <c r="Q382" s="3101"/>
      <c r="R382" s="3101"/>
      <c r="S382" s="3102" t="s">
        <v>295</v>
      </c>
      <c r="T382" s="3102" t="s">
        <v>213</v>
      </c>
      <c r="U382" s="3103"/>
      <c r="V382" s="3103" t="s">
        <v>295</v>
      </c>
      <c r="W382" s="3103" t="s">
        <v>6797</v>
      </c>
      <c r="X382" s="3103" t="s">
        <v>6800</v>
      </c>
      <c r="Y382" s="3104" t="s">
        <v>164</v>
      </c>
    </row>
    <row r="383" spans="1:25" ht="52" hidden="1">
      <c r="A383" s="1304"/>
      <c r="B383" s="643"/>
      <c r="C383" s="643" t="s">
        <v>2160</v>
      </c>
      <c r="D383" s="3088">
        <v>3</v>
      </c>
      <c r="E383" s="3089" t="str">
        <f t="shared" si="53"/>
        <v xml:space="preserve">        ----</v>
      </c>
      <c r="F383" s="3090" t="s">
        <v>2161</v>
      </c>
      <c r="G383" s="3091" t="str">
        <f t="shared" si="54"/>
        <v xml:space="preserve">        ----</v>
      </c>
      <c r="H383" s="3092">
        <f ca="1">INDIRECT("Notes!CheckA"&amp;$C383)</f>
        <v>0</v>
      </c>
      <c r="I383" s="3094" t="s">
        <v>6803</v>
      </c>
      <c r="J383" s="3073"/>
      <c r="K383" s="3091" t="str">
        <f t="shared" si="55"/>
        <v xml:space="preserve">        ----</v>
      </c>
      <c r="L383" s="3072" t="s">
        <v>6799</v>
      </c>
      <c r="M383" s="3094" t="s">
        <v>6803</v>
      </c>
      <c r="N383" s="3073"/>
      <c r="O383" s="3100"/>
      <c r="P383" s="3101"/>
      <c r="Q383" s="3101"/>
      <c r="R383" s="3101"/>
      <c r="S383" s="3102" t="s">
        <v>295</v>
      </c>
      <c r="T383" s="3102" t="s">
        <v>213</v>
      </c>
      <c r="U383" s="3103"/>
      <c r="V383" s="3103" t="s">
        <v>295</v>
      </c>
      <c r="W383" s="3103" t="s">
        <v>6797</v>
      </c>
      <c r="X383" s="3103" t="s">
        <v>6800</v>
      </c>
      <c r="Y383" s="3104" t="s">
        <v>164</v>
      </c>
    </row>
    <row r="384" spans="1:25" ht="65" hidden="1">
      <c r="A384" s="1304"/>
      <c r="B384" s="643"/>
      <c r="C384" s="643" t="s">
        <v>2144</v>
      </c>
      <c r="D384" s="3088">
        <v>3</v>
      </c>
      <c r="E384" s="3089" t="str">
        <f t="shared" si="53"/>
        <v xml:space="preserve">        ----</v>
      </c>
      <c r="F384" s="3090" t="s">
        <v>2145</v>
      </c>
      <c r="G384" s="3091" t="str">
        <f t="shared" si="54"/>
        <v xml:space="preserve">        ----</v>
      </c>
      <c r="H384" s="3092" t="s">
        <v>6799</v>
      </c>
      <c r="I384" s="3094" t="s">
        <v>6803</v>
      </c>
      <c r="J384" s="3073"/>
      <c r="K384" s="3091" t="str">
        <f t="shared" si="55"/>
        <v xml:space="preserve">        ----</v>
      </c>
      <c r="L384" s="3072" t="s">
        <v>6799</v>
      </c>
      <c r="M384" s="3094" t="s">
        <v>6803</v>
      </c>
      <c r="N384" s="3073"/>
      <c r="O384" s="3100"/>
      <c r="P384" s="3101"/>
      <c r="Q384" s="3101"/>
      <c r="R384" s="3101"/>
      <c r="S384" s="3102" t="s">
        <v>295</v>
      </c>
      <c r="T384" s="3102" t="s">
        <v>213</v>
      </c>
      <c r="U384" s="3103"/>
      <c r="V384" s="3103" t="s">
        <v>295</v>
      </c>
      <c r="W384" s="3103" t="s">
        <v>6797</v>
      </c>
      <c r="X384" s="3103" t="s">
        <v>6800</v>
      </c>
      <c r="Y384" s="3104" t="s">
        <v>164</v>
      </c>
    </row>
    <row r="385" spans="1:25" ht="39" hidden="1">
      <c r="A385" s="1304"/>
      <c r="B385" s="643"/>
      <c r="C385" s="643" t="s">
        <v>2130</v>
      </c>
      <c r="D385" s="3088">
        <v>3</v>
      </c>
      <c r="E385" s="3089" t="str">
        <f t="shared" si="53"/>
        <v xml:space="preserve">        ----</v>
      </c>
      <c r="F385" s="3090" t="s">
        <v>2131</v>
      </c>
      <c r="G385" s="3091" t="str">
        <f t="shared" si="54"/>
        <v xml:space="preserve">        ----</v>
      </c>
      <c r="H385" s="3092" t="s">
        <v>6799</v>
      </c>
      <c r="I385" s="3094" t="s">
        <v>6803</v>
      </c>
      <c r="J385" s="3073"/>
      <c r="K385" s="3091" t="str">
        <f t="shared" si="55"/>
        <v xml:space="preserve">        ----</v>
      </c>
      <c r="L385" s="3072" t="s">
        <v>6799</v>
      </c>
      <c r="M385" s="3094" t="s">
        <v>6803</v>
      </c>
      <c r="N385" s="3073"/>
      <c r="O385" s="3100"/>
      <c r="P385" s="3101"/>
      <c r="Q385" s="3101"/>
      <c r="R385" s="3101"/>
      <c r="S385" s="3102" t="s">
        <v>295</v>
      </c>
      <c r="T385" s="3102" t="s">
        <v>213</v>
      </c>
      <c r="U385" s="3103"/>
      <c r="V385" s="3103" t="s">
        <v>295</v>
      </c>
      <c r="W385" s="3103" t="s">
        <v>6797</v>
      </c>
      <c r="X385" s="3103" t="s">
        <v>6800</v>
      </c>
      <c r="Y385" s="3104" t="s">
        <v>164</v>
      </c>
    </row>
    <row r="386" spans="1:25" ht="26" hidden="1">
      <c r="A386" s="1304"/>
      <c r="B386" s="643"/>
      <c r="C386" s="643" t="s">
        <v>2064</v>
      </c>
      <c r="D386" s="3088">
        <v>3</v>
      </c>
      <c r="E386" s="3089" t="str">
        <f t="shared" si="53"/>
        <v xml:space="preserve">        ----</v>
      </c>
      <c r="F386" s="3090" t="s">
        <v>2065</v>
      </c>
      <c r="G386" s="3091" t="str">
        <f t="shared" si="54"/>
        <v xml:space="preserve">        ----</v>
      </c>
      <c r="H386" s="3092">
        <f ca="1">INDIRECT("Notes!CheckA"&amp;$C386)</f>
        <v>0</v>
      </c>
      <c r="I386" s="3094" t="s">
        <v>6803</v>
      </c>
      <c r="J386" s="3073"/>
      <c r="K386" s="3091" t="str">
        <f t="shared" si="55"/>
        <v xml:space="preserve">        ----</v>
      </c>
      <c r="L386" s="3072">
        <f ca="1">INDIRECT("Notes!CheckB"&amp;$C386)</f>
        <v>0</v>
      </c>
      <c r="M386" s="3094" t="s">
        <v>6803</v>
      </c>
      <c r="N386" s="3073"/>
      <c r="O386" s="3100"/>
      <c r="P386" s="3101"/>
      <c r="Q386" s="3101"/>
      <c r="R386" s="3101"/>
      <c r="S386" s="3102" t="s">
        <v>295</v>
      </c>
      <c r="T386" s="3102" t="s">
        <v>213</v>
      </c>
      <c r="U386" s="3103"/>
      <c r="V386" s="3103" t="s">
        <v>295</v>
      </c>
      <c r="W386" s="3103" t="s">
        <v>6797</v>
      </c>
      <c r="X386" s="3103" t="s">
        <v>6798</v>
      </c>
      <c r="Y386" s="3104" t="s">
        <v>164</v>
      </c>
    </row>
    <row r="387" spans="1:25" ht="26" hidden="1">
      <c r="A387" s="1304"/>
      <c r="B387" s="643"/>
      <c r="C387" s="643" t="s">
        <v>2067</v>
      </c>
      <c r="D387" s="3088">
        <v>3</v>
      </c>
      <c r="E387" s="3089" t="str">
        <f t="shared" si="53"/>
        <v xml:space="preserve">        ----</v>
      </c>
      <c r="F387" s="3090" t="s">
        <v>2068</v>
      </c>
      <c r="G387" s="3091" t="str">
        <f t="shared" si="54"/>
        <v xml:space="preserve">        ----</v>
      </c>
      <c r="H387" s="3092">
        <f ca="1">INDIRECT("Notes!CheckA"&amp;$C387)</f>
        <v>0</v>
      </c>
      <c r="I387" s="3094" t="s">
        <v>6803</v>
      </c>
      <c r="J387" s="3073"/>
      <c r="K387" s="3091" t="str">
        <f t="shared" si="55"/>
        <v xml:space="preserve">        ----</v>
      </c>
      <c r="L387" s="3072">
        <f ca="1">INDIRECT("Notes!CheckB"&amp;$C387)</f>
        <v>0</v>
      </c>
      <c r="M387" s="3094" t="s">
        <v>6803</v>
      </c>
      <c r="N387" s="3073"/>
      <c r="O387" s="3100"/>
      <c r="P387" s="3101"/>
      <c r="Q387" s="3101"/>
      <c r="R387" s="3101"/>
      <c r="S387" s="3102" t="s">
        <v>295</v>
      </c>
      <c r="T387" s="3102" t="s">
        <v>213</v>
      </c>
      <c r="U387" s="3103"/>
      <c r="V387" s="3103" t="s">
        <v>295</v>
      </c>
      <c r="W387" s="3103" t="s">
        <v>6797</v>
      </c>
      <c r="X387" s="3103" t="s">
        <v>6798</v>
      </c>
      <c r="Y387" s="3104" t="s">
        <v>164</v>
      </c>
    </row>
    <row r="388" spans="1:25" ht="17" hidden="1">
      <c r="A388" s="1304"/>
      <c r="B388" s="643"/>
      <c r="C388" s="643" t="s">
        <v>2069</v>
      </c>
      <c r="D388" s="3088">
        <v>3</v>
      </c>
      <c r="E388" s="3089" t="str">
        <f t="shared" si="53"/>
        <v xml:space="preserve">        ----</v>
      </c>
      <c r="F388" s="3090" t="s">
        <v>2070</v>
      </c>
      <c r="G388" s="3091" t="str">
        <f t="shared" si="54"/>
        <v xml:space="preserve">        ----</v>
      </c>
      <c r="H388" s="3092" t="s">
        <v>6799</v>
      </c>
      <c r="I388" s="3094" t="s">
        <v>6803</v>
      </c>
      <c r="J388" s="3073"/>
      <c r="K388" s="3091" t="str">
        <f t="shared" si="55"/>
        <v xml:space="preserve">        ----</v>
      </c>
      <c r="L388" s="3072" t="s">
        <v>6799</v>
      </c>
      <c r="M388" s="3094" t="s">
        <v>6803</v>
      </c>
      <c r="N388" s="3073"/>
      <c r="O388" s="3100"/>
      <c r="P388" s="3101"/>
      <c r="Q388" s="3101"/>
      <c r="R388" s="3101"/>
      <c r="S388" s="3102" t="s">
        <v>295</v>
      </c>
      <c r="T388" s="3102" t="s">
        <v>213</v>
      </c>
      <c r="U388" s="3103"/>
      <c r="V388" s="3103" t="s">
        <v>295</v>
      </c>
      <c r="W388" s="3103" t="s">
        <v>6797</v>
      </c>
      <c r="X388" s="3103" t="s">
        <v>6798</v>
      </c>
      <c r="Y388" s="3104" t="s">
        <v>164</v>
      </c>
    </row>
    <row r="389" spans="1:25" ht="17" hidden="1">
      <c r="A389" s="1304"/>
      <c r="B389" s="643"/>
      <c r="C389" s="643" t="s">
        <v>2072</v>
      </c>
      <c r="D389" s="3088">
        <v>3</v>
      </c>
      <c r="E389" s="3089" t="str">
        <f t="shared" si="53"/>
        <v xml:space="preserve">        ----</v>
      </c>
      <c r="F389" s="3090" t="s">
        <v>2073</v>
      </c>
      <c r="G389" s="3091" t="str">
        <f t="shared" si="54"/>
        <v xml:space="preserve">        ----</v>
      </c>
      <c r="H389" s="3092" t="s">
        <v>6799</v>
      </c>
      <c r="I389" s="3094" t="s">
        <v>6803</v>
      </c>
      <c r="J389" s="3073"/>
      <c r="K389" s="3091" t="str">
        <f t="shared" si="55"/>
        <v xml:space="preserve">        ----</v>
      </c>
      <c r="L389" s="3072" t="s">
        <v>6799</v>
      </c>
      <c r="M389" s="3094" t="s">
        <v>6803</v>
      </c>
      <c r="N389" s="3073"/>
      <c r="O389" s="3100"/>
      <c r="P389" s="3101"/>
      <c r="Q389" s="3101"/>
      <c r="R389" s="3101"/>
      <c r="S389" s="3102" t="s">
        <v>295</v>
      </c>
      <c r="T389" s="3102" t="s">
        <v>213</v>
      </c>
      <c r="U389" s="3103"/>
      <c r="V389" s="3103" t="s">
        <v>295</v>
      </c>
      <c r="W389" s="3103" t="s">
        <v>6797</v>
      </c>
      <c r="X389" s="3103" t="s">
        <v>6798</v>
      </c>
      <c r="Y389" s="3104" t="s">
        <v>164</v>
      </c>
    </row>
    <row r="390" spans="1:25" ht="26" hidden="1">
      <c r="A390" s="1304"/>
      <c r="B390" s="643"/>
      <c r="C390" s="643" t="s">
        <v>2075</v>
      </c>
      <c r="D390" s="3088">
        <v>3</v>
      </c>
      <c r="E390" s="3089" t="str">
        <f t="shared" si="53"/>
        <v xml:space="preserve">        ----</v>
      </c>
      <c r="F390" s="3090" t="s">
        <v>2076</v>
      </c>
      <c r="G390" s="3091" t="str">
        <f t="shared" si="54"/>
        <v xml:space="preserve">        ----</v>
      </c>
      <c r="H390" s="3092" t="s">
        <v>6799</v>
      </c>
      <c r="I390" s="3094" t="s">
        <v>6803</v>
      </c>
      <c r="J390" s="3073"/>
      <c r="K390" s="3091" t="str">
        <f t="shared" si="55"/>
        <v xml:space="preserve">        ----</v>
      </c>
      <c r="L390" s="3072" t="s">
        <v>6799</v>
      </c>
      <c r="M390" s="3094" t="s">
        <v>6803</v>
      </c>
      <c r="N390" s="3073"/>
      <c r="O390" s="3100"/>
      <c r="P390" s="3101"/>
      <c r="Q390" s="3101"/>
      <c r="R390" s="3101"/>
      <c r="S390" s="3102" t="s">
        <v>295</v>
      </c>
      <c r="T390" s="3102" t="s">
        <v>213</v>
      </c>
      <c r="U390" s="3103"/>
      <c r="V390" s="3103" t="s">
        <v>295</v>
      </c>
      <c r="W390" s="3103" t="s">
        <v>6797</v>
      </c>
      <c r="X390" s="3103" t="s">
        <v>6798</v>
      </c>
      <c r="Y390" s="3104" t="s">
        <v>164</v>
      </c>
    </row>
    <row r="391" spans="1:25" ht="26" hidden="1">
      <c r="A391" s="1304"/>
      <c r="B391" s="643"/>
      <c r="C391" s="643" t="s">
        <v>2077</v>
      </c>
      <c r="D391" s="3088">
        <v>3</v>
      </c>
      <c r="E391" s="3089" t="str">
        <f t="shared" si="53"/>
        <v xml:space="preserve">        ----</v>
      </c>
      <c r="F391" s="3090" t="s">
        <v>2078</v>
      </c>
      <c r="G391" s="3091" t="str">
        <f t="shared" si="54"/>
        <v xml:space="preserve">        ----</v>
      </c>
      <c r="H391" s="3092" t="s">
        <v>6799</v>
      </c>
      <c r="I391" s="3094" t="s">
        <v>6803</v>
      </c>
      <c r="J391" s="3073"/>
      <c r="K391" s="3091" t="str">
        <f t="shared" si="55"/>
        <v xml:space="preserve">        ----</v>
      </c>
      <c r="L391" s="3072" t="s">
        <v>6799</v>
      </c>
      <c r="M391" s="3094" t="s">
        <v>6803</v>
      </c>
      <c r="N391" s="3073"/>
      <c r="O391" s="3100"/>
      <c r="P391" s="3101"/>
      <c r="Q391" s="3101"/>
      <c r="R391" s="3101"/>
      <c r="S391" s="3102" t="s">
        <v>295</v>
      </c>
      <c r="T391" s="3102" t="s">
        <v>213</v>
      </c>
      <c r="U391" s="3103"/>
      <c r="V391" s="3103" t="s">
        <v>295</v>
      </c>
      <c r="W391" s="3103" t="s">
        <v>6797</v>
      </c>
      <c r="X391" s="3103" t="s">
        <v>6798</v>
      </c>
      <c r="Y391" s="3104" t="s">
        <v>164</v>
      </c>
    </row>
    <row r="392" spans="1:25" ht="26" hidden="1">
      <c r="A392" s="1304"/>
      <c r="B392" s="643"/>
      <c r="C392" s="643" t="s">
        <v>2079</v>
      </c>
      <c r="D392" s="3088">
        <v>3</v>
      </c>
      <c r="E392" s="3089" t="str">
        <f t="shared" si="53"/>
        <v xml:space="preserve">        ----</v>
      </c>
      <c r="F392" s="3090" t="s">
        <v>2080</v>
      </c>
      <c r="G392" s="3091" t="str">
        <f t="shared" si="54"/>
        <v xml:space="preserve">        ----</v>
      </c>
      <c r="H392" s="3092" t="s">
        <v>6799</v>
      </c>
      <c r="I392" s="3094" t="s">
        <v>6803</v>
      </c>
      <c r="J392" s="3073"/>
      <c r="K392" s="3091" t="str">
        <f t="shared" si="55"/>
        <v xml:space="preserve">        ----</v>
      </c>
      <c r="L392" s="3072" t="s">
        <v>6799</v>
      </c>
      <c r="M392" s="3094" t="s">
        <v>6803</v>
      </c>
      <c r="N392" s="3073"/>
      <c r="O392" s="3100"/>
      <c r="P392" s="3101"/>
      <c r="Q392" s="3101"/>
      <c r="R392" s="3101"/>
      <c r="S392" s="3102" t="s">
        <v>295</v>
      </c>
      <c r="T392" s="3102" t="s">
        <v>213</v>
      </c>
      <c r="U392" s="3103"/>
      <c r="V392" s="3103" t="s">
        <v>295</v>
      </c>
      <c r="W392" s="3103" t="s">
        <v>6797</v>
      </c>
      <c r="X392" s="3103" t="s">
        <v>6798</v>
      </c>
      <c r="Y392" s="3104" t="s">
        <v>164</v>
      </c>
    </row>
    <row r="393" spans="1:25" ht="26" hidden="1">
      <c r="A393" s="1304"/>
      <c r="B393" s="643"/>
      <c r="C393" s="643" t="s">
        <v>2081</v>
      </c>
      <c r="D393" s="3088">
        <v>3</v>
      </c>
      <c r="E393" s="3089" t="str">
        <f t="shared" ref="E393:E408" si="59">IF(ISERROR(VLOOKUP($B393,Sheet_Items,2,0)),"        ----",VLOOKUP($B393,Sheet_Items,2,0))</f>
        <v xml:space="preserve">        ----</v>
      </c>
      <c r="F393" s="3090" t="s">
        <v>2082</v>
      </c>
      <c r="G393" s="3091" t="str">
        <f t="shared" ref="G393:G408" si="60">IF(ISERROR(VLOOKUP($B393,Sheet_Trialbal,6,0)),"        ----",VLOOKUP($B393,Sheet_Trialbal,6,0))</f>
        <v xml:space="preserve">        ----</v>
      </c>
      <c r="H393" s="3092" t="s">
        <v>6799</v>
      </c>
      <c r="I393" s="3094" t="s">
        <v>6803</v>
      </c>
      <c r="J393" s="3073"/>
      <c r="K393" s="3091" t="str">
        <f t="shared" si="55"/>
        <v xml:space="preserve">        ----</v>
      </c>
      <c r="L393" s="3072" t="s">
        <v>6799</v>
      </c>
      <c r="M393" s="3094" t="s">
        <v>6803</v>
      </c>
      <c r="N393" s="3073"/>
      <c r="O393" s="3100"/>
      <c r="P393" s="3101"/>
      <c r="Q393" s="3101"/>
      <c r="R393" s="3101"/>
      <c r="S393" s="3102" t="s">
        <v>295</v>
      </c>
      <c r="T393" s="3102" t="s">
        <v>213</v>
      </c>
      <c r="U393" s="3103"/>
      <c r="V393" s="3103" t="s">
        <v>295</v>
      </c>
      <c r="W393" s="3103" t="s">
        <v>6797</v>
      </c>
      <c r="X393" s="3103" t="s">
        <v>6798</v>
      </c>
      <c r="Y393" s="3104" t="s">
        <v>164</v>
      </c>
    </row>
    <row r="394" spans="1:25" ht="26" hidden="1">
      <c r="A394" s="1304"/>
      <c r="B394" s="643"/>
      <c r="C394" s="643" t="s">
        <v>2083</v>
      </c>
      <c r="D394" s="3088">
        <v>3</v>
      </c>
      <c r="E394" s="3089" t="str">
        <f t="shared" si="59"/>
        <v xml:space="preserve">        ----</v>
      </c>
      <c r="F394" s="3090" t="s">
        <v>2084</v>
      </c>
      <c r="G394" s="3091" t="str">
        <f t="shared" si="60"/>
        <v xml:space="preserve">        ----</v>
      </c>
      <c r="H394" s="3092" t="s">
        <v>6799</v>
      </c>
      <c r="I394" s="3094" t="s">
        <v>6803</v>
      </c>
      <c r="J394" s="3073"/>
      <c r="K394" s="3091" t="str">
        <f t="shared" si="55"/>
        <v xml:space="preserve">        ----</v>
      </c>
      <c r="L394" s="3072" t="s">
        <v>6799</v>
      </c>
      <c r="M394" s="3094" t="s">
        <v>6803</v>
      </c>
      <c r="N394" s="3073"/>
      <c r="O394" s="3100"/>
      <c r="P394" s="3101"/>
      <c r="Q394" s="3101"/>
      <c r="R394" s="3101"/>
      <c r="S394" s="3102" t="s">
        <v>295</v>
      </c>
      <c r="T394" s="3102" t="s">
        <v>213</v>
      </c>
      <c r="U394" s="3103"/>
      <c r="V394" s="3103" t="s">
        <v>295</v>
      </c>
      <c r="W394" s="3103" t="s">
        <v>6797</v>
      </c>
      <c r="X394" s="3103" t="s">
        <v>6798</v>
      </c>
      <c r="Y394" s="3104" t="s">
        <v>164</v>
      </c>
    </row>
    <row r="395" spans="1:25" ht="26" hidden="1">
      <c r="A395" s="1304"/>
      <c r="B395" s="643"/>
      <c r="C395" s="643" t="s">
        <v>2085</v>
      </c>
      <c r="D395" s="3088">
        <v>3</v>
      </c>
      <c r="E395" s="3089" t="str">
        <f t="shared" si="59"/>
        <v xml:space="preserve">        ----</v>
      </c>
      <c r="F395" s="3090" t="s">
        <v>2086</v>
      </c>
      <c r="G395" s="3091" t="str">
        <f t="shared" si="60"/>
        <v xml:space="preserve">        ----</v>
      </c>
      <c r="H395" s="3092" t="s">
        <v>6799</v>
      </c>
      <c r="I395" s="3094" t="s">
        <v>6803</v>
      </c>
      <c r="J395" s="3073"/>
      <c r="K395" s="3091" t="str">
        <f t="shared" si="55"/>
        <v xml:space="preserve">        ----</v>
      </c>
      <c r="L395" s="3072" t="s">
        <v>6799</v>
      </c>
      <c r="M395" s="3094" t="s">
        <v>6803</v>
      </c>
      <c r="N395" s="3073"/>
      <c r="O395" s="3100"/>
      <c r="P395" s="3101"/>
      <c r="Q395" s="3101"/>
      <c r="R395" s="3101"/>
      <c r="S395" s="3102" t="s">
        <v>295</v>
      </c>
      <c r="T395" s="3102" t="s">
        <v>213</v>
      </c>
      <c r="U395" s="3103"/>
      <c r="V395" s="3103" t="s">
        <v>295</v>
      </c>
      <c r="W395" s="3103" t="s">
        <v>6797</v>
      </c>
      <c r="X395" s="3103" t="s">
        <v>6798</v>
      </c>
      <c r="Y395" s="3104" t="s">
        <v>164</v>
      </c>
    </row>
    <row r="396" spans="1:25" ht="26" hidden="1">
      <c r="A396" s="1304"/>
      <c r="B396" s="643"/>
      <c r="C396" s="643" t="s">
        <v>2088</v>
      </c>
      <c r="D396" s="3088">
        <v>3</v>
      </c>
      <c r="E396" s="3089" t="str">
        <f t="shared" si="59"/>
        <v xml:space="preserve">        ----</v>
      </c>
      <c r="F396" s="3090" t="s">
        <v>2089</v>
      </c>
      <c r="G396" s="3091" t="str">
        <f t="shared" si="60"/>
        <v xml:space="preserve">        ----</v>
      </c>
      <c r="H396" s="3092" t="s">
        <v>6799</v>
      </c>
      <c r="I396" s="3094" t="s">
        <v>6803</v>
      </c>
      <c r="J396" s="3073"/>
      <c r="K396" s="3091" t="str">
        <f t="shared" si="55"/>
        <v xml:space="preserve">        ----</v>
      </c>
      <c r="L396" s="3072" t="s">
        <v>6799</v>
      </c>
      <c r="M396" s="3094" t="s">
        <v>6803</v>
      </c>
      <c r="N396" s="3073"/>
      <c r="O396" s="3100"/>
      <c r="P396" s="3101"/>
      <c r="Q396" s="3101"/>
      <c r="R396" s="3101"/>
      <c r="S396" s="3102" t="s">
        <v>295</v>
      </c>
      <c r="T396" s="3102" t="s">
        <v>213</v>
      </c>
      <c r="U396" s="3103"/>
      <c r="V396" s="3103" t="s">
        <v>295</v>
      </c>
      <c r="W396" s="3103" t="s">
        <v>6797</v>
      </c>
      <c r="X396" s="3103" t="s">
        <v>6798</v>
      </c>
      <c r="Y396" s="3104" t="s">
        <v>164</v>
      </c>
    </row>
    <row r="397" spans="1:25" ht="17" hidden="1">
      <c r="A397" s="1304"/>
      <c r="B397" s="643"/>
      <c r="C397" s="643" t="s">
        <v>2091</v>
      </c>
      <c r="D397" s="3088">
        <v>3</v>
      </c>
      <c r="E397" s="3089" t="str">
        <f t="shared" si="59"/>
        <v xml:space="preserve">        ----</v>
      </c>
      <c r="F397" s="3090" t="s">
        <v>2092</v>
      </c>
      <c r="G397" s="3091" t="str">
        <f t="shared" si="60"/>
        <v xml:space="preserve">        ----</v>
      </c>
      <c r="H397" s="3092" t="s">
        <v>6799</v>
      </c>
      <c r="I397" s="3094" t="s">
        <v>6803</v>
      </c>
      <c r="J397" s="3073"/>
      <c r="K397" s="3091" t="str">
        <f t="shared" si="55"/>
        <v xml:space="preserve">        ----</v>
      </c>
      <c r="L397" s="3072" t="s">
        <v>6799</v>
      </c>
      <c r="M397" s="3094" t="s">
        <v>6803</v>
      </c>
      <c r="N397" s="3073"/>
      <c r="O397" s="3100"/>
      <c r="P397" s="3101"/>
      <c r="Q397" s="3101"/>
      <c r="R397" s="3101"/>
      <c r="S397" s="3102" t="s">
        <v>295</v>
      </c>
      <c r="T397" s="3102" t="s">
        <v>213</v>
      </c>
      <c r="U397" s="3103"/>
      <c r="V397" s="3103" t="s">
        <v>295</v>
      </c>
      <c r="W397" s="3103" t="s">
        <v>6797</v>
      </c>
      <c r="X397" s="3103" t="s">
        <v>6798</v>
      </c>
      <c r="Y397" s="3104" t="s">
        <v>164</v>
      </c>
    </row>
    <row r="398" spans="1:25" ht="26" hidden="1">
      <c r="A398" s="1304"/>
      <c r="B398" s="643"/>
      <c r="C398" s="643" t="s">
        <v>2094</v>
      </c>
      <c r="D398" s="3088">
        <v>3</v>
      </c>
      <c r="E398" s="3089" t="str">
        <f t="shared" si="59"/>
        <v xml:space="preserve">        ----</v>
      </c>
      <c r="F398" s="3090" t="s">
        <v>2095</v>
      </c>
      <c r="G398" s="3091" t="str">
        <f t="shared" si="60"/>
        <v xml:space="preserve">        ----</v>
      </c>
      <c r="H398" s="3092">
        <f ca="1">INDIRECT("Notes!CheckA"&amp;$C398)</f>
        <v>0</v>
      </c>
      <c r="I398" s="3094" t="s">
        <v>6803</v>
      </c>
      <c r="J398" s="3073"/>
      <c r="K398" s="3091" t="str">
        <f t="shared" si="55"/>
        <v xml:space="preserve">        ----</v>
      </c>
      <c r="L398" s="3072">
        <f ca="1">INDIRECT("Notes!CheckB"&amp;$C398)</f>
        <v>0</v>
      </c>
      <c r="M398" s="3094" t="s">
        <v>6803</v>
      </c>
      <c r="N398" s="3073"/>
      <c r="O398" s="3100"/>
      <c r="P398" s="3101"/>
      <c r="Q398" s="3101"/>
      <c r="R398" s="3101"/>
      <c r="S398" s="3102" t="s">
        <v>295</v>
      </c>
      <c r="T398" s="3102" t="s">
        <v>213</v>
      </c>
      <c r="U398" s="3103"/>
      <c r="V398" s="3103" t="s">
        <v>295</v>
      </c>
      <c r="W398" s="3103" t="s">
        <v>6797</v>
      </c>
      <c r="X398" s="3103" t="s">
        <v>6798</v>
      </c>
      <c r="Y398" s="3104" t="s">
        <v>164</v>
      </c>
    </row>
    <row r="399" spans="1:25" ht="26" hidden="1">
      <c r="A399" s="1304"/>
      <c r="B399" s="643"/>
      <c r="C399" s="643" t="s">
        <v>2096</v>
      </c>
      <c r="D399" s="3088">
        <v>3</v>
      </c>
      <c r="E399" s="3089" t="str">
        <f t="shared" si="59"/>
        <v xml:space="preserve">        ----</v>
      </c>
      <c r="F399" s="3090" t="s">
        <v>2097</v>
      </c>
      <c r="G399" s="3091" t="str">
        <f t="shared" si="60"/>
        <v xml:space="preserve">        ----</v>
      </c>
      <c r="H399" s="3092">
        <f ca="1">INDIRECT("Notes!CheckA"&amp;$C399)</f>
        <v>0</v>
      </c>
      <c r="I399" s="3094" t="s">
        <v>6803</v>
      </c>
      <c r="J399" s="3073"/>
      <c r="K399" s="3091" t="str">
        <f t="shared" si="55"/>
        <v xml:space="preserve">        ----</v>
      </c>
      <c r="L399" s="3072">
        <f ca="1">INDIRECT("Notes!CheckB"&amp;$C399)</f>
        <v>0</v>
      </c>
      <c r="M399" s="3094" t="s">
        <v>6803</v>
      </c>
      <c r="N399" s="3073"/>
      <c r="O399" s="3100"/>
      <c r="P399" s="3101"/>
      <c r="Q399" s="3101"/>
      <c r="R399" s="3101"/>
      <c r="S399" s="3102" t="s">
        <v>295</v>
      </c>
      <c r="T399" s="3102" t="s">
        <v>213</v>
      </c>
      <c r="U399" s="3103"/>
      <c r="V399" s="3103" t="s">
        <v>295</v>
      </c>
      <c r="W399" s="3103" t="s">
        <v>6797</v>
      </c>
      <c r="X399" s="3103" t="s">
        <v>6798</v>
      </c>
      <c r="Y399" s="3104" t="s">
        <v>164</v>
      </c>
    </row>
    <row r="400" spans="1:25" ht="26" hidden="1">
      <c r="A400" s="1304"/>
      <c r="B400" s="643"/>
      <c r="C400" s="643" t="s">
        <v>2153</v>
      </c>
      <c r="D400" s="3088">
        <v>3</v>
      </c>
      <c r="E400" s="3089" t="str">
        <f t="shared" si="59"/>
        <v xml:space="preserve">        ----</v>
      </c>
      <c r="F400" s="3090" t="s">
        <v>2154</v>
      </c>
      <c r="G400" s="3091" t="str">
        <f t="shared" si="60"/>
        <v xml:space="preserve">        ----</v>
      </c>
      <c r="H400" s="3092" t="s">
        <v>6799</v>
      </c>
      <c r="I400" s="3094" t="s">
        <v>6803</v>
      </c>
      <c r="J400" s="3073"/>
      <c r="K400" s="3091" t="str">
        <f t="shared" si="55"/>
        <v xml:space="preserve">        ----</v>
      </c>
      <c r="L400" s="3072" t="s">
        <v>6799</v>
      </c>
      <c r="M400" s="3094" t="s">
        <v>6803</v>
      </c>
      <c r="N400" s="3073"/>
      <c r="O400" s="3100"/>
      <c r="P400" s="3101"/>
      <c r="Q400" s="3101"/>
      <c r="R400" s="3101"/>
      <c r="S400" s="3102" t="s">
        <v>295</v>
      </c>
      <c r="T400" s="3102" t="s">
        <v>213</v>
      </c>
      <c r="U400" s="3103"/>
      <c r="V400" s="3103" t="s">
        <v>295</v>
      </c>
      <c r="W400" s="3103" t="s">
        <v>145</v>
      </c>
      <c r="X400" s="3103" t="s">
        <v>6800</v>
      </c>
      <c r="Y400" s="3104" t="s">
        <v>164</v>
      </c>
    </row>
    <row r="401" spans="1:25" ht="26" hidden="1">
      <c r="A401" s="1304"/>
      <c r="B401" s="643"/>
      <c r="C401" s="643" t="s">
        <v>6104</v>
      </c>
      <c r="D401" s="3088">
        <v>3</v>
      </c>
      <c r="E401" s="3089" t="str">
        <f t="shared" si="59"/>
        <v xml:space="preserve">        ----</v>
      </c>
      <c r="F401" s="3090" t="s">
        <v>6103</v>
      </c>
      <c r="G401" s="3091" t="str">
        <f t="shared" si="60"/>
        <v xml:space="preserve">        ----</v>
      </c>
      <c r="H401" s="3092">
        <f ca="1">INDIRECT("Notes!CheckA"&amp;$C401)</f>
        <v>0</v>
      </c>
      <c r="I401" s="3094" t="s">
        <v>6803</v>
      </c>
      <c r="J401" s="3073"/>
      <c r="K401" s="3091" t="str">
        <f t="shared" si="55"/>
        <v xml:space="preserve">        ----</v>
      </c>
      <c r="L401" s="3072">
        <f ca="1">INDIRECT("Notes!CheckB"&amp;$C401)</f>
        <v>0</v>
      </c>
      <c r="M401" s="3094" t="s">
        <v>6803</v>
      </c>
      <c r="N401" s="3073"/>
      <c r="O401" s="3100"/>
      <c r="P401" s="3101"/>
      <c r="Q401" s="3101"/>
      <c r="R401" s="3101"/>
      <c r="S401" s="3102" t="s">
        <v>213</v>
      </c>
      <c r="T401" s="3102" t="s">
        <v>213</v>
      </c>
      <c r="U401" s="3103"/>
      <c r="V401" s="3103" t="s">
        <v>295</v>
      </c>
      <c r="W401" s="3103" t="s">
        <v>6802</v>
      </c>
      <c r="X401" s="3103" t="s">
        <v>6801</v>
      </c>
      <c r="Y401" s="3104" t="s">
        <v>164</v>
      </c>
    </row>
    <row r="402" spans="1:25" ht="26" hidden="1">
      <c r="A402" s="1304"/>
      <c r="B402" s="643"/>
      <c r="C402" s="643" t="s">
        <v>2181</v>
      </c>
      <c r="D402" s="3088">
        <v>3</v>
      </c>
      <c r="E402" s="3089" t="str">
        <f t="shared" si="59"/>
        <v xml:space="preserve">        ----</v>
      </c>
      <c r="F402" s="3090" t="s">
        <v>912</v>
      </c>
      <c r="G402" s="3091" t="str">
        <f t="shared" si="60"/>
        <v xml:space="preserve">        ----</v>
      </c>
      <c r="H402" s="3092">
        <f ca="1">INDIRECT("Notes!CheckA"&amp;$C402)</f>
        <v>0</v>
      </c>
      <c r="I402" s="3094" t="s">
        <v>6803</v>
      </c>
      <c r="J402" s="3073"/>
      <c r="K402" s="3091" t="str">
        <f t="shared" si="55"/>
        <v xml:space="preserve">        ----</v>
      </c>
      <c r="L402" s="3072">
        <f ca="1">INDIRECT("Notes!CheckB"&amp;$C402)</f>
        <v>0</v>
      </c>
      <c r="M402" s="3094" t="s">
        <v>6803</v>
      </c>
      <c r="N402" s="3073"/>
      <c r="O402" s="3100"/>
      <c r="P402" s="3101"/>
      <c r="Q402" s="3101"/>
      <c r="R402" s="3101"/>
      <c r="S402" s="3102" t="s">
        <v>295</v>
      </c>
      <c r="T402" s="3102" t="s">
        <v>213</v>
      </c>
      <c r="U402" s="3103"/>
      <c r="V402" s="3103" t="s">
        <v>295</v>
      </c>
      <c r="W402" s="3103" t="s">
        <v>6797</v>
      </c>
      <c r="X402" s="3103" t="s">
        <v>6800</v>
      </c>
      <c r="Y402" s="3104" t="s">
        <v>164</v>
      </c>
    </row>
    <row r="403" spans="1:25" ht="78" hidden="1">
      <c r="A403" s="1304"/>
      <c r="B403" s="643"/>
      <c r="C403" s="643" t="s">
        <v>2187</v>
      </c>
      <c r="D403" s="150">
        <v>3</v>
      </c>
      <c r="E403" s="1310" t="str">
        <f t="shared" si="59"/>
        <v xml:space="preserve">        ----</v>
      </c>
      <c r="F403" s="163" t="s">
        <v>2188</v>
      </c>
      <c r="G403" s="1311" t="str">
        <f t="shared" si="60"/>
        <v xml:space="preserve">        ----</v>
      </c>
      <c r="H403" s="70" t="s">
        <v>6799</v>
      </c>
      <c r="I403" s="3093" t="s">
        <v>6803</v>
      </c>
      <c r="J403" s="1293"/>
      <c r="K403" s="1311" t="str">
        <f t="shared" si="55"/>
        <v xml:space="preserve">        ----</v>
      </c>
      <c r="L403" s="70" t="s">
        <v>6799</v>
      </c>
      <c r="M403" s="3093" t="s">
        <v>6803</v>
      </c>
      <c r="N403" s="1293"/>
      <c r="O403" s="3100"/>
      <c r="P403" s="3101"/>
      <c r="Q403" s="3101"/>
      <c r="R403" s="3101"/>
      <c r="S403" s="3102" t="s">
        <v>295</v>
      </c>
      <c r="T403" s="3102" t="s">
        <v>213</v>
      </c>
      <c r="U403" s="3103"/>
      <c r="V403" s="3103" t="s">
        <v>295</v>
      </c>
      <c r="W403" s="3103" t="s">
        <v>6797</v>
      </c>
      <c r="X403" s="3103" t="s">
        <v>6800</v>
      </c>
      <c r="Y403" s="3104" t="s">
        <v>164</v>
      </c>
    </row>
    <row r="404" spans="1:25" ht="26" hidden="1">
      <c r="A404" s="1304"/>
      <c r="B404" s="643"/>
      <c r="C404" s="643" t="s">
        <v>2184</v>
      </c>
      <c r="D404" s="150">
        <v>3</v>
      </c>
      <c r="E404" s="1310" t="str">
        <f t="shared" si="59"/>
        <v xml:space="preserve">        ----</v>
      </c>
      <c r="F404" s="163" t="s">
        <v>2185</v>
      </c>
      <c r="G404" s="1311" t="str">
        <f t="shared" si="60"/>
        <v xml:space="preserve">        ----</v>
      </c>
      <c r="H404" s="70" t="s">
        <v>6799</v>
      </c>
      <c r="I404" s="3093" t="s">
        <v>6803</v>
      </c>
      <c r="J404" s="1293"/>
      <c r="K404" s="1311" t="str">
        <f t="shared" si="55"/>
        <v xml:space="preserve">        ----</v>
      </c>
      <c r="L404" s="70" t="s">
        <v>6799</v>
      </c>
      <c r="M404" s="3093" t="s">
        <v>6803</v>
      </c>
      <c r="N404" s="1293"/>
      <c r="O404" s="3100"/>
      <c r="P404" s="3101"/>
      <c r="Q404" s="3101"/>
      <c r="R404" s="3101"/>
      <c r="S404" s="3102" t="s">
        <v>295</v>
      </c>
      <c r="T404" s="3102" t="s">
        <v>213</v>
      </c>
      <c r="U404" s="3103"/>
      <c r="V404" s="3103" t="s">
        <v>295</v>
      </c>
      <c r="W404" s="3103" t="s">
        <v>6797</v>
      </c>
      <c r="X404" s="3103" t="s">
        <v>213</v>
      </c>
      <c r="Y404" s="3104" t="s">
        <v>164</v>
      </c>
    </row>
    <row r="405" spans="1:25" ht="26" hidden="1">
      <c r="A405" s="1304"/>
      <c r="B405" s="643"/>
      <c r="C405" s="643" t="s">
        <v>2190</v>
      </c>
      <c r="D405" s="150">
        <v>3</v>
      </c>
      <c r="E405" s="1310" t="str">
        <f t="shared" si="59"/>
        <v xml:space="preserve">        ----</v>
      </c>
      <c r="F405" s="163" t="s">
        <v>2191</v>
      </c>
      <c r="G405" s="1311" t="str">
        <f t="shared" si="60"/>
        <v xml:space="preserve">        ----</v>
      </c>
      <c r="H405" s="70" t="s">
        <v>6799</v>
      </c>
      <c r="I405" s="3093" t="s">
        <v>6803</v>
      </c>
      <c r="J405" s="1293"/>
      <c r="K405" s="1311" t="str">
        <f t="shared" si="55"/>
        <v xml:space="preserve">        ----</v>
      </c>
      <c r="L405" s="70" t="s">
        <v>6799</v>
      </c>
      <c r="M405" s="3093" t="s">
        <v>6803</v>
      </c>
      <c r="N405" s="1293"/>
      <c r="O405" s="3100"/>
      <c r="P405" s="3101"/>
      <c r="Q405" s="3101"/>
      <c r="R405" s="3101"/>
      <c r="S405" s="3102" t="s">
        <v>295</v>
      </c>
      <c r="T405" s="3102" t="s">
        <v>213</v>
      </c>
      <c r="U405" s="3103"/>
      <c r="V405" s="3103" t="s">
        <v>295</v>
      </c>
      <c r="W405" s="3103" t="s">
        <v>6797</v>
      </c>
      <c r="X405" s="3103" t="s">
        <v>213</v>
      </c>
      <c r="Y405" s="3104" t="s">
        <v>164</v>
      </c>
    </row>
    <row r="406" spans="1:25" ht="26"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3" t="s">
        <v>6803</v>
      </c>
      <c r="J406" s="1293"/>
      <c r="K406" s="1311" t="str">
        <f t="shared" si="55"/>
        <v xml:space="preserve">        ----</v>
      </c>
      <c r="L406" s="70">
        <f ca="1">INDIRECT("Notes!CheckB"&amp;$C406)</f>
        <v>0</v>
      </c>
      <c r="M406" s="3093" t="s">
        <v>6803</v>
      </c>
      <c r="N406" s="1293"/>
      <c r="O406" s="3100"/>
      <c r="P406" s="3101"/>
      <c r="Q406" s="3101"/>
      <c r="R406" s="3101"/>
      <c r="S406" s="3102" t="s">
        <v>295</v>
      </c>
      <c r="T406" s="3102" t="s">
        <v>213</v>
      </c>
      <c r="U406" s="3103"/>
      <c r="V406" s="3103" t="s">
        <v>295</v>
      </c>
      <c r="W406" s="3103" t="s">
        <v>6797</v>
      </c>
      <c r="X406" s="3103" t="s">
        <v>213</v>
      </c>
      <c r="Y406" s="3104" t="s">
        <v>164</v>
      </c>
    </row>
    <row r="407" spans="1:25" ht="17" hidden="1">
      <c r="A407" s="1304"/>
      <c r="B407" s="643"/>
      <c r="C407" s="643" t="s">
        <v>2197</v>
      </c>
      <c r="D407" s="150">
        <v>3</v>
      </c>
      <c r="E407" s="1310" t="str">
        <f t="shared" si="59"/>
        <v xml:space="preserve">        ----</v>
      </c>
      <c r="F407" s="163" t="s">
        <v>2198</v>
      </c>
      <c r="G407" s="1311" t="str">
        <f t="shared" si="60"/>
        <v xml:space="preserve">        ----</v>
      </c>
      <c r="H407" s="70" t="s">
        <v>6799</v>
      </c>
      <c r="I407" s="3093" t="s">
        <v>6803</v>
      </c>
      <c r="J407" s="1293"/>
      <c r="K407" s="1311" t="str">
        <f t="shared" si="55"/>
        <v xml:space="preserve">        ----</v>
      </c>
      <c r="L407" s="70" t="s">
        <v>6799</v>
      </c>
      <c r="M407" s="3093" t="s">
        <v>6803</v>
      </c>
      <c r="N407" s="1293"/>
      <c r="O407" s="3100"/>
      <c r="P407" s="3101"/>
      <c r="Q407" s="3101"/>
      <c r="R407" s="3101"/>
      <c r="S407" s="3102" t="s">
        <v>295</v>
      </c>
      <c r="T407" s="3102" t="s">
        <v>213</v>
      </c>
      <c r="U407" s="3103"/>
      <c r="V407" s="3103" t="s">
        <v>295</v>
      </c>
      <c r="W407" s="3103" t="s">
        <v>6797</v>
      </c>
      <c r="X407" s="3103" t="s">
        <v>213</v>
      </c>
      <c r="Y407" s="3104" t="s">
        <v>164</v>
      </c>
    </row>
    <row r="408" spans="1:25" ht="17" hidden="1">
      <c r="A408" s="1304"/>
      <c r="B408" s="643"/>
      <c r="C408" s="643" t="s">
        <v>2200</v>
      </c>
      <c r="D408" s="1313">
        <v>3</v>
      </c>
      <c r="E408" s="1310" t="str">
        <f t="shared" si="59"/>
        <v xml:space="preserve">        ----</v>
      </c>
      <c r="F408" s="163" t="s">
        <v>2201</v>
      </c>
      <c r="G408" s="1314" t="str">
        <f t="shared" si="60"/>
        <v xml:space="preserve">        ----</v>
      </c>
      <c r="H408" s="1315" t="s">
        <v>6799</v>
      </c>
      <c r="I408" s="3093" t="s">
        <v>6803</v>
      </c>
      <c r="J408" s="1293"/>
      <c r="K408" s="1314" t="str">
        <f t="shared" si="55"/>
        <v xml:space="preserve">        ----</v>
      </c>
      <c r="L408" s="1315" t="s">
        <v>6799</v>
      </c>
      <c r="M408" s="3093" t="s">
        <v>6803</v>
      </c>
      <c r="N408" s="1293"/>
      <c r="O408" s="3100"/>
      <c r="P408" s="3101"/>
      <c r="Q408" s="3101"/>
      <c r="R408" s="3101"/>
      <c r="S408" s="3102" t="s">
        <v>295</v>
      </c>
      <c r="T408" s="3102" t="s">
        <v>213</v>
      </c>
      <c r="U408" s="3103"/>
      <c r="V408" s="3103" t="s">
        <v>295</v>
      </c>
      <c r="W408" s="3103" t="s">
        <v>6797</v>
      </c>
      <c r="X408" s="3103" t="s">
        <v>213</v>
      </c>
      <c r="Y408" s="3104" t="s">
        <v>164</v>
      </c>
    </row>
    <row r="409" spans="1:25" ht="17.5" thickBot="1">
      <c r="A409" s="1304"/>
      <c r="B409" s="643"/>
      <c r="C409" s="643"/>
      <c r="D409" s="1316"/>
      <c r="E409" s="1316"/>
      <c r="F409" s="1316"/>
      <c r="G409" s="1316"/>
      <c r="H409" s="1316"/>
      <c r="I409" s="3095"/>
      <c r="J409" s="3095"/>
      <c r="K409" s="1316"/>
      <c r="L409" s="1316"/>
      <c r="M409" s="3095"/>
      <c r="N409" s="3095"/>
      <c r="O409" s="641"/>
      <c r="P409" s="641"/>
      <c r="Q409" s="641"/>
      <c r="R409" s="641"/>
      <c r="S409" s="641"/>
      <c r="T409" s="641"/>
    </row>
    <row r="410" spans="1:25" ht="1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7">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7">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7">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7">
      <c r="A414" s="30"/>
      <c r="I414" s="641"/>
      <c r="J414" s="641"/>
      <c r="M414" s="641"/>
      <c r="N414" s="641"/>
      <c r="O414" s="641"/>
      <c r="P414" s="641"/>
      <c r="Q414" s="641"/>
      <c r="R414" s="641"/>
      <c r="S414" s="641"/>
      <c r="T414" s="641"/>
    </row>
    <row r="415" spans="1:25" ht="17">
      <c r="A415" s="30"/>
      <c r="I415" s="641"/>
      <c r="J415" s="641"/>
      <c r="M415" s="641"/>
      <c r="N415" s="641"/>
      <c r="O415" s="641"/>
      <c r="P415" s="641"/>
      <c r="Q415" s="641"/>
      <c r="R415" s="641"/>
      <c r="S415" s="641"/>
      <c r="T415" s="641"/>
    </row>
    <row r="416" spans="1:25" ht="17">
      <c r="A416" s="30"/>
      <c r="I416" s="641"/>
      <c r="J416" s="641"/>
      <c r="M416" s="641"/>
      <c r="N416" s="641"/>
      <c r="O416" s="641"/>
      <c r="P416" s="641"/>
      <c r="Q416" s="641"/>
      <c r="R416" s="641"/>
      <c r="S416" s="641"/>
      <c r="T416" s="641"/>
    </row>
    <row r="417" spans="1:20" ht="17">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leIqwUKLyBiNx9cdNf6hL1e+CuJJgd7iK3K9FGc8oQbYnPx4BV7jX1ey2njFmlV6enX0yY6RzKLUzoV6k08v9Q==" saltValue="CXuqn/DgfbwNkKzi7qZqVg==" spinCount="100000" sheet="1" scenarios="1" formatCells="0" autoFilter="0"/>
  <autoFilter ref="B8:Y408">
    <filterColumn colId="2">
      <filters>
        <filter val="1"/>
      </filters>
    </filterColumn>
  </autoFilter>
  <phoneticPr fontId="163" type="noConversion"/>
  <conditionalFormatting sqref="I9:I408 M9:M408">
    <cfRule type="expression" dxfId="3841"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opLeftCell="A4969" workbookViewId="0">
      <selection activeCell="I4976" sqref="I4976"/>
    </sheetView>
  </sheetViews>
  <sheetFormatPr defaultRowHeight="13"/>
  <cols>
    <col min="1" max="4" width="9.765625E-2" style="369" customWidth="1"/>
    <col min="5" max="5" width="3.69921875" style="2716" customWidth="1"/>
    <col min="6" max="6" width="9.765625E-2" style="287" customWidth="1"/>
    <col min="7" max="7" width="26" style="288" customWidth="1"/>
    <col min="8" max="16" width="14.59765625" style="288" customWidth="1"/>
    <col min="17" max="18" width="14.59765625" style="290" customWidth="1"/>
    <col min="19" max="19" width="12.69921875" style="291" customWidth="1"/>
    <col min="20" max="20" width="12.69921875" style="288" customWidth="1"/>
    <col min="21" max="25" width="15.69921875" style="288" customWidth="1"/>
    <col min="26" max="31" width="9.09765625" style="369"/>
    <col min="32" max="34" width="9.09765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余江县天骏投资管理有限公司</v>
      </c>
      <c r="I2" s="306"/>
      <c r="J2" s="321"/>
      <c r="K2" s="322"/>
      <c r="L2" s="323" t="s">
        <v>2521</v>
      </c>
      <c r="N2" s="324" t="s">
        <v>2501</v>
      </c>
      <c r="O2" s="322"/>
      <c r="P2" s="322"/>
      <c r="Q2" s="2742" t="str">
        <f ca="1">HYPERLINK("#'"&amp;$G$1&amp;"'!"&amp;ADDRESS(ROW(Notes!S12),COLUMN(Notes!S12),4),S12)</f>
        <v>操作提示：</v>
      </c>
      <c r="R2" s="322"/>
      <c r="S2" s="2740" t="s">
        <v>6584</v>
      </c>
      <c r="T2" s="2739" t="s">
        <v>6589</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43864</v>
      </c>
      <c r="O3" s="295" t="s">
        <v>2650</v>
      </c>
      <c r="P3" s="2743" t="s">
        <v>6590</v>
      </c>
      <c r="Q3" s="2742" t="str">
        <f ca="1">HYPERLINK("#'"&amp;$G$1&amp;"'!"&amp;ADDRESS(ROW(Notes!S2),COLUMN(Notes!S2),4),S2)</f>
        <v>自定义标识：</v>
      </c>
      <c r="R3" s="322"/>
      <c r="S3" s="364" t="s">
        <v>6585</v>
      </c>
      <c r="T3" s="2734" t="s">
        <v>6112</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6586</v>
      </c>
      <c r="T4" s="2734" t="s">
        <v>6113</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7">
      <c r="A7" s="2714"/>
      <c r="B7" s="371"/>
      <c r="C7" s="371"/>
      <c r="D7" s="371"/>
      <c r="F7" s="294"/>
      <c r="G7" s="302" t="s">
        <v>2728</v>
      </c>
      <c r="H7" s="303">
        <f ca="1">SUMIF($J:$J,"附注列报*",$L:$L)</f>
        <v>0</v>
      </c>
      <c r="I7" s="333">
        <f ca="1">SUMIF($J:$J,"附注列报*",$O:$O)</f>
        <v>0</v>
      </c>
      <c r="J7" s="334" t="s">
        <v>2729</v>
      </c>
      <c r="K7" s="335">
        <f ca="1">COUNTIF($L:$L,"#Logical!")+COUNTIF($O:$O,"#Logical!")</f>
        <v>1</v>
      </c>
      <c r="L7" s="336" t="s">
        <v>2730</v>
      </c>
      <c r="M7" s="337">
        <f>COUNTIF($D:$D,"&gt;1")</f>
        <v>0</v>
      </c>
      <c r="N7" s="338" t="s">
        <v>2731</v>
      </c>
      <c r="P7" s="337">
        <f ca="1">COUNTIF($K:$K,"请设置公式")+COUNTIF($N:$N,"请设置公式")</f>
        <v>0</v>
      </c>
      <c r="Q7" s="322"/>
      <c r="R7" s="322"/>
      <c r="S7" s="364" t="s">
        <v>6587</v>
      </c>
      <c r="T7" s="2741" t="s">
        <v>6588</v>
      </c>
      <c r="U7" s="2735"/>
      <c r="V7" s="340" t="s">
        <v>6581</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147</v>
      </c>
      <c r="Q8" s="366"/>
      <c r="R8" s="366"/>
      <c r="S8" s="364"/>
      <c r="U8" s="2736"/>
      <c r="V8" s="340" t="s">
        <v>6582</v>
      </c>
      <c r="W8" s="304"/>
      <c r="X8" s="304"/>
      <c r="Y8" s="304"/>
      <c r="Z8" s="371"/>
      <c r="AA8" s="609" t="s">
        <v>2738</v>
      </c>
    </row>
    <row r="9" spans="1:31" ht="17">
      <c r="A9" s="2715">
        <v>1015</v>
      </c>
      <c r="B9" s="371">
        <v>1</v>
      </c>
      <c r="C9" s="2716" t="str">
        <f>VLOOKUP($A9,Sheet_Items,2,0)</f>
        <v>货币资金</v>
      </c>
      <c r="D9" s="371"/>
      <c r="E9" s="2716" t="s">
        <v>2739</v>
      </c>
      <c r="F9" s="294"/>
      <c r="G9" s="305" t="str">
        <f>B9&amp;" "&amp;C9</f>
        <v>1 货币资金</v>
      </c>
      <c r="H9" s="306"/>
      <c r="I9" s="306"/>
      <c r="J9" s="306" t="s">
        <v>2740</v>
      </c>
      <c r="K9" s="341">
        <f>VLOOKUP($A9,Sheet_Trialbal,6,0)</f>
        <v>15480.77</v>
      </c>
      <c r="L9" s="342"/>
      <c r="M9" s="306" t="s">
        <v>2741</v>
      </c>
      <c r="N9" s="341">
        <f>VLOOKUP($A9,Sheet_Trialbal,10,0)</f>
        <v>17805.68</v>
      </c>
      <c r="O9" s="342"/>
      <c r="P9" s="301"/>
      <c r="S9" s="364"/>
      <c r="U9" s="2737"/>
      <c r="V9" s="2713" t="s">
        <v>6583</v>
      </c>
      <c r="Z9" s="609" t="s">
        <v>48</v>
      </c>
      <c r="AA9" s="609" t="s">
        <v>5650</v>
      </c>
    </row>
    <row r="10" spans="1:31" ht="17">
      <c r="A10" s="2714" t="s">
        <v>69</v>
      </c>
      <c r="B10" s="371">
        <v>1</v>
      </c>
      <c r="C10" s="371"/>
      <c r="D10" s="2716" t="str">
        <f>VLOOKUP($A10,Sheet_NoteList,2,0)</f>
        <v>货币资金明细项目</v>
      </c>
      <c r="E10" s="2716" t="s">
        <v>6532</v>
      </c>
      <c r="F10" s="294"/>
      <c r="G10" s="307" t="str">
        <f>"("&amp;B10&amp;")"&amp;D10</f>
        <v>(1)货币资金明细项目</v>
      </c>
      <c r="H10" s="1517" t="str">
        <f>$A10</f>
        <v>1015b</v>
      </c>
      <c r="I10" s="343" t="s">
        <v>5124</v>
      </c>
      <c r="J10" s="301" t="s">
        <v>5122</v>
      </c>
      <c r="K10" s="2210">
        <f>H17</f>
        <v>15480.77</v>
      </c>
      <c r="L10" s="345" t="str">
        <f>IF($I10="适用",IF(ROUND($K$9-K10,2)=0,"F/S",ROUND($K$9-K10,2)),"#N/A")</f>
        <v>F/S</v>
      </c>
      <c r="M10" s="301" t="s">
        <v>5123</v>
      </c>
      <c r="N10" s="2210">
        <f>I17</f>
        <v>17805.68</v>
      </c>
      <c r="O10" s="345" t="str">
        <f>IF($I10="适用",IF(ROUND($N$9-N10,2)=0,"F/S",ROUND($N$9-N10,2)),"#N/A")</f>
        <v>F/S</v>
      </c>
      <c r="P10" s="301"/>
      <c r="Q10" s="290" t="str">
        <f>IF($I10="不适用","",IF(ROUND(SUM($H$13:$I$17),2)=0,"请输入",""))</f>
        <v/>
      </c>
      <c r="S10" s="364"/>
      <c r="U10" s="2738"/>
      <c r="V10" s="2713" t="s">
        <v>6580</v>
      </c>
      <c r="Z10" s="609" t="s">
        <v>48</v>
      </c>
      <c r="AA10" s="609" t="s">
        <v>5650</v>
      </c>
    </row>
    <row r="11" spans="1:31" ht="0.75" customHeight="1" thickBot="1">
      <c r="A11" s="2714"/>
      <c r="B11" s="371"/>
      <c r="C11" s="371"/>
      <c r="D11" s="371"/>
      <c r="F11" s="371"/>
      <c r="G11" s="371" t="s">
        <v>2746</v>
      </c>
      <c r="H11" s="371" t="s">
        <v>2747</v>
      </c>
      <c r="I11" s="371" t="s">
        <v>2748</v>
      </c>
      <c r="J11" s="291"/>
      <c r="K11" s="291"/>
      <c r="L11" s="291"/>
      <c r="M11" s="291"/>
      <c r="Z11" s="609" t="s">
        <v>48</v>
      </c>
      <c r="AA11" s="609" t="s">
        <v>5650</v>
      </c>
    </row>
    <row r="12" spans="1:31" ht="26.5" thickTop="1">
      <c r="A12" s="2714"/>
      <c r="B12" s="371"/>
      <c r="C12" s="371"/>
      <c r="D12" s="371"/>
      <c r="E12" s="2716" t="s">
        <v>2749</v>
      </c>
      <c r="F12" s="294"/>
      <c r="G12" s="1574" t="s">
        <v>47</v>
      </c>
      <c r="H12" s="1454" t="str">
        <f>$V$2&amp;""</f>
        <v>2019年12月31日</v>
      </c>
      <c r="I12" s="1455" t="str">
        <f>$V$3</f>
        <v>2018年12月31日</v>
      </c>
      <c r="J12" s="1532" t="s">
        <v>5266</v>
      </c>
      <c r="K12" s="1530" t="str">
        <f>""&amp;"&gt;期末:"&amp;""</f>
        <v>&gt;期末:</v>
      </c>
      <c r="L12" s="1530" t="str">
        <f>""&amp;"&gt;期初:"&amp;""</f>
        <v>&gt;期初:</v>
      </c>
      <c r="M12" s="291"/>
      <c r="S12" s="365" t="s">
        <v>2727</v>
      </c>
      <c r="Z12" s="609" t="s">
        <v>48</v>
      </c>
      <c r="AA12" s="609" t="s">
        <v>5650</v>
      </c>
    </row>
    <row r="13" spans="1:31" ht="17">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5650</v>
      </c>
    </row>
    <row r="14" spans="1:31" ht="17">
      <c r="A14" s="2714"/>
      <c r="B14" s="371">
        <v>102</v>
      </c>
      <c r="C14" s="371"/>
      <c r="D14" s="2716">
        <f t="shared" si="0"/>
        <v>1</v>
      </c>
      <c r="E14" s="2721">
        <v>1</v>
      </c>
      <c r="F14" s="294"/>
      <c r="G14" s="308" t="s">
        <v>66</v>
      </c>
      <c r="H14" s="309">
        <v>15480.77</v>
      </c>
      <c r="I14" s="346">
        <v>17805.68</v>
      </c>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5650</v>
      </c>
    </row>
    <row r="15" spans="1:31" ht="17">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5650</v>
      </c>
    </row>
    <row r="16" spans="1:31" ht="17">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5650</v>
      </c>
    </row>
    <row r="17" spans="1:27" ht="17.5" thickBot="1">
      <c r="A17" s="2714"/>
      <c r="B17" s="371"/>
      <c r="C17" s="371"/>
      <c r="D17" s="2716">
        <f t="shared" si="0"/>
        <v>1</v>
      </c>
      <c r="E17" s="2721" t="s">
        <v>2751</v>
      </c>
      <c r="F17" s="294"/>
      <c r="G17" s="374" t="s">
        <v>2752</v>
      </c>
      <c r="H17" s="1478">
        <f>SUMPRODUCT($E12:$E16,H12:H16)</f>
        <v>15480.77</v>
      </c>
      <c r="I17" s="1479">
        <f>SUMPRODUCT($E12:$E16,I12:I16)</f>
        <v>17805.68</v>
      </c>
      <c r="J17" s="291"/>
      <c r="K17" s="1531">
        <f t="shared" ref="K17:L17" ca="1" si="1">SUM(K13:K16)</f>
        <v>0</v>
      </c>
      <c r="L17" s="1531">
        <f t="shared" ca="1" si="1"/>
        <v>0</v>
      </c>
      <c r="M17" s="291"/>
      <c r="S17" s="364"/>
      <c r="Z17" s="609" t="s">
        <v>48</v>
      </c>
      <c r="AA17" s="609" t="s">
        <v>5650</v>
      </c>
    </row>
    <row r="18" spans="1:27" ht="26.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5650</v>
      </c>
    </row>
    <row r="19" spans="1:27" ht="17">
      <c r="A19" s="2714"/>
      <c r="B19" s="371"/>
      <c r="C19" s="371" t="s">
        <v>2755</v>
      </c>
      <c r="D19" s="371"/>
      <c r="F19" s="294"/>
      <c r="G19" s="314"/>
      <c r="H19" s="315" t="s">
        <v>3002</v>
      </c>
      <c r="I19" s="315" t="s">
        <v>3002</v>
      </c>
      <c r="J19" s="350"/>
      <c r="K19" s="1539" t="s">
        <v>5367</v>
      </c>
      <c r="L19" s="354"/>
      <c r="M19" s="291"/>
      <c r="N19" s="291"/>
      <c r="S19" s="364"/>
      <c r="Z19" s="609" t="s">
        <v>48</v>
      </c>
      <c r="AA19" s="609" t="s">
        <v>5650</v>
      </c>
    </row>
    <row r="20" spans="1:27" ht="17">
      <c r="A20" s="2714" t="s">
        <v>45</v>
      </c>
      <c r="B20" s="371">
        <v>2</v>
      </c>
      <c r="C20" s="371"/>
      <c r="D20" s="2716" t="str">
        <f>VLOOKUP($A20,Sheet_NoteList,2,0)</f>
        <v>货币资金按币种列示</v>
      </c>
      <c r="E20" s="2716" t="s">
        <v>6533</v>
      </c>
      <c r="F20" s="294"/>
      <c r="G20" s="307" t="str">
        <f>"("&amp;B20&amp;")"&amp;D20</f>
        <v>(2)货币资金按币种列示</v>
      </c>
      <c r="H20" s="1517" t="str">
        <f>$A20</f>
        <v>1015a</v>
      </c>
      <c r="I20" s="343" t="s">
        <v>5364</v>
      </c>
      <c r="J20" s="301" t="s">
        <v>5362</v>
      </c>
      <c r="K20" s="2210">
        <f>J57</f>
        <v>15480.77</v>
      </c>
      <c r="L20" s="345" t="str">
        <f>IF($I20="适用",IF(ROUND(K9-K20,2)=0,"F/S",ROUND(K9-K20,2)),"#N/A")</f>
        <v>F/S</v>
      </c>
      <c r="M20" s="301" t="s">
        <v>5363</v>
      </c>
      <c r="N20" s="2210">
        <f>M57</f>
        <v>17805.68</v>
      </c>
      <c r="O20" s="345" t="str">
        <f>IF($I20="适用",IF(ROUND(N9-N20,2)=0,"F/S",ROUND(N9-N20,2)),"#N/A")</f>
        <v>F/S</v>
      </c>
      <c r="P20" s="301"/>
      <c r="Q20" s="290" t="str">
        <f>IF($I20="不适用","",IF(ROUND(SUM($H$25:$M$57),2)=0,"请输入",""))</f>
        <v/>
      </c>
      <c r="S20" s="364"/>
      <c r="Z20" s="609" t="s">
        <v>48</v>
      </c>
      <c r="AA20" s="609" t="s">
        <v>5650</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5650</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5650</v>
      </c>
    </row>
    <row r="23" spans="1:27" ht="17">
      <c r="A23" s="2714"/>
      <c r="B23" s="371"/>
      <c r="C23" s="371"/>
      <c r="D23" s="371"/>
      <c r="E23" s="2716" t="s">
        <v>2749</v>
      </c>
      <c r="F23" s="294"/>
      <c r="G23" s="3195" t="s">
        <v>47</v>
      </c>
      <c r="H23" s="3193" t="str">
        <f>$V$2</f>
        <v>2019年12月31日</v>
      </c>
      <c r="I23" s="3194"/>
      <c r="J23" s="3195"/>
      <c r="K23" s="3193" t="str">
        <f>$V$3</f>
        <v>2018年12月31日</v>
      </c>
      <c r="L23" s="3194"/>
      <c r="M23" s="3194"/>
      <c r="N23" s="355" t="s">
        <v>5605</v>
      </c>
      <c r="O23" s="291"/>
      <c r="P23" s="291"/>
      <c r="Q23" s="367"/>
      <c r="R23" s="367"/>
      <c r="S23" s="364"/>
      <c r="Z23" s="609" t="s">
        <v>48</v>
      </c>
      <c r="AA23" s="609" t="s">
        <v>5650</v>
      </c>
    </row>
    <row r="24" spans="1:27" ht="17">
      <c r="A24" s="2714"/>
      <c r="B24" s="371"/>
      <c r="C24" s="371"/>
      <c r="D24" s="371"/>
      <c r="E24" s="2716" t="s">
        <v>2749</v>
      </c>
      <c r="F24" s="294"/>
      <c r="G24" s="3212"/>
      <c r="H24" s="1523" t="s">
        <v>2778</v>
      </c>
      <c r="I24" s="1523" t="s">
        <v>2779</v>
      </c>
      <c r="J24" s="1523" t="s">
        <v>2780</v>
      </c>
      <c r="K24" s="1523" t="s">
        <v>2778</v>
      </c>
      <c r="L24" s="1523" t="s">
        <v>2779</v>
      </c>
      <c r="M24" s="1524" t="s">
        <v>2780</v>
      </c>
      <c r="N24" s="355" t="s">
        <v>5365</v>
      </c>
      <c r="O24" s="1522" t="s">
        <v>5366</v>
      </c>
      <c r="P24" s="291"/>
      <c r="Q24" s="367"/>
      <c r="R24" s="367"/>
      <c r="S24" s="364"/>
      <c r="Z24" s="609" t="s">
        <v>48</v>
      </c>
      <c r="AA24" s="609" t="s">
        <v>5650</v>
      </c>
    </row>
    <row r="25" spans="1:27" ht="17">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6177</v>
      </c>
      <c r="O25" s="291"/>
      <c r="P25" s="291"/>
      <c r="Q25" s="367"/>
      <c r="R25" s="367"/>
      <c r="S25" s="2727" t="s">
        <v>6177</v>
      </c>
      <c r="Z25" s="609" t="s">
        <v>48</v>
      </c>
      <c r="AA25" s="609" t="s">
        <v>5650</v>
      </c>
    </row>
    <row r="26" spans="1:27" ht="17">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5650</v>
      </c>
    </row>
    <row r="27" spans="1:27" ht="17">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5650</v>
      </c>
    </row>
    <row r="28" spans="1:27" ht="17">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5650</v>
      </c>
    </row>
    <row r="29" spans="1:27" ht="17">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5650</v>
      </c>
    </row>
    <row r="30" spans="1:27" ht="17">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5650</v>
      </c>
    </row>
    <row r="31" spans="1:27" ht="17">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5650</v>
      </c>
    </row>
    <row r="32" spans="1:27" ht="17">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5650</v>
      </c>
    </row>
    <row r="33" spans="1:29" ht="17">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5650</v>
      </c>
      <c r="AC33" s="369" t="s">
        <v>6575</v>
      </c>
    </row>
    <row r="34" spans="1:29" ht="17">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5650</v>
      </c>
    </row>
    <row r="35" spans="1:29" ht="17">
      <c r="A35" s="2714"/>
      <c r="B35" s="371">
        <v>102.001</v>
      </c>
      <c r="C35" s="371"/>
      <c r="D35" s="2716">
        <f t="shared" si="2"/>
        <v>1</v>
      </c>
      <c r="E35" s="2721" t="s">
        <v>2797</v>
      </c>
      <c r="F35" s="294"/>
      <c r="G35" s="308" t="s">
        <v>2798</v>
      </c>
      <c r="H35" s="309"/>
      <c r="I35" s="360"/>
      <c r="J35" s="309">
        <v>15480.77</v>
      </c>
      <c r="K35" s="309"/>
      <c r="L35" s="360"/>
      <c r="M35" s="346">
        <v>17805.68</v>
      </c>
      <c r="N35" s="355" t="s">
        <v>2799</v>
      </c>
      <c r="O35" s="291"/>
      <c r="P35" s="291"/>
      <c r="Q35" s="367"/>
      <c r="R35" s="367"/>
      <c r="S35" s="364"/>
      <c r="Z35" s="609" t="s">
        <v>48</v>
      </c>
      <c r="AA35" s="609" t="s">
        <v>5650</v>
      </c>
    </row>
    <row r="36" spans="1:29" ht="17">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5650</v>
      </c>
    </row>
    <row r="37" spans="1:29" ht="17">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5650</v>
      </c>
    </row>
    <row r="38" spans="1:29" ht="17">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5650</v>
      </c>
    </row>
    <row r="39" spans="1:29" ht="17">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5650</v>
      </c>
    </row>
    <row r="40" spans="1:29" ht="17">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5650</v>
      </c>
    </row>
    <row r="41" spans="1:29" ht="17">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5650</v>
      </c>
    </row>
    <row r="42" spans="1:29" ht="17">
      <c r="A42" s="2714"/>
      <c r="B42" s="371">
        <v>102.999</v>
      </c>
      <c r="C42" s="371" t="s">
        <v>2793</v>
      </c>
      <c r="D42" s="2716">
        <f t="shared" si="2"/>
        <v>1</v>
      </c>
      <c r="E42" s="2721">
        <v>1</v>
      </c>
      <c r="F42" s="294"/>
      <c r="G42" s="308" t="s">
        <v>2797</v>
      </c>
      <c r="H42" s="320"/>
      <c r="I42" s="360"/>
      <c r="J42" s="1476">
        <f>SUMIF($E$25:$E$57,$G42,J$25:J$57)</f>
        <v>15480.77</v>
      </c>
      <c r="K42" s="320"/>
      <c r="L42" s="360"/>
      <c r="M42" s="1477">
        <f>SUMIF($E$25:$E$57,$G42,M$25:M$57)</f>
        <v>17805.68</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5650</v>
      </c>
      <c r="AC42" s="369" t="s">
        <v>6575</v>
      </c>
    </row>
    <row r="43" spans="1:29" ht="17">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5650</v>
      </c>
    </row>
    <row r="44" spans="1:29" ht="17">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5650</v>
      </c>
    </row>
    <row r="45" spans="1:29" ht="17">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5650</v>
      </c>
    </row>
    <row r="46" spans="1:29" ht="17">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5650</v>
      </c>
    </row>
    <row r="47" spans="1:29" ht="26">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5650</v>
      </c>
    </row>
    <row r="48" spans="1:29" ht="17">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5650</v>
      </c>
    </row>
    <row r="49" spans="1:29" ht="17">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5650</v>
      </c>
    </row>
    <row r="50" spans="1:29" ht="17">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5650</v>
      </c>
    </row>
    <row r="51" spans="1:29" ht="17">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5650</v>
      </c>
    </row>
    <row r="52" spans="1:29" ht="17">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5650</v>
      </c>
    </row>
    <row r="53" spans="1:29" ht="17">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5650</v>
      </c>
    </row>
    <row r="54" spans="1:29" ht="17">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5650</v>
      </c>
    </row>
    <row r="55" spans="1:29" ht="17">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5650</v>
      </c>
    </row>
    <row r="56" spans="1:29" ht="17">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5650</v>
      </c>
      <c r="AC56" s="369" t="s">
        <v>6575</v>
      </c>
    </row>
    <row r="57" spans="1:29" ht="17.5" thickBot="1">
      <c r="A57" s="2714"/>
      <c r="B57" s="371"/>
      <c r="C57" s="371"/>
      <c r="D57" s="2716">
        <f t="shared" si="2"/>
        <v>1</v>
      </c>
      <c r="E57" s="2721" t="s">
        <v>2751</v>
      </c>
      <c r="F57" s="294"/>
      <c r="G57" s="1529" t="s">
        <v>2752</v>
      </c>
      <c r="H57" s="1525"/>
      <c r="I57" s="1526" t="s">
        <v>2783</v>
      </c>
      <c r="J57" s="1527">
        <f>SUMPRODUCT($E24:$E56,J24:J56)</f>
        <v>15480.77</v>
      </c>
      <c r="K57" s="1525"/>
      <c r="L57" s="1526"/>
      <c r="M57" s="1528">
        <f>SUMPRODUCT($E24:$E56,M24:M56)</f>
        <v>17805.68</v>
      </c>
      <c r="N57" s="291"/>
      <c r="O57" s="291"/>
      <c r="P57" s="291"/>
      <c r="Q57" s="367"/>
      <c r="R57" s="367"/>
      <c r="S57" s="364"/>
      <c r="Z57" s="609" t="s">
        <v>48</v>
      </c>
      <c r="AA57" s="609" t="s">
        <v>5650</v>
      </c>
    </row>
    <row r="58" spans="1:29" ht="17">
      <c r="A58" s="2714"/>
      <c r="B58" s="371"/>
      <c r="C58" s="371" t="s">
        <v>2755</v>
      </c>
      <c r="D58" s="371"/>
      <c r="F58" s="294"/>
      <c r="G58" s="314"/>
      <c r="H58" s="315"/>
      <c r="I58" s="393"/>
      <c r="J58" s="315"/>
      <c r="K58" s="315"/>
      <c r="L58" s="393"/>
      <c r="M58" s="315"/>
      <c r="N58" s="291"/>
      <c r="O58" s="291"/>
      <c r="P58" s="291"/>
      <c r="Q58" s="367"/>
      <c r="R58" s="367"/>
      <c r="S58" s="364"/>
      <c r="Z58" s="609" t="s">
        <v>48</v>
      </c>
      <c r="AA58" s="609" t="s">
        <v>5650</v>
      </c>
    </row>
    <row r="59" spans="1:29" ht="17">
      <c r="A59" s="2714" t="s">
        <v>88</v>
      </c>
      <c r="B59" s="371">
        <v>3</v>
      </c>
      <c r="C59" s="371"/>
      <c r="D59" s="2716" t="str">
        <f>VLOOKUP($A59,Sheet_NoteList,2,0)</f>
        <v>有回收风险的货币资金</v>
      </c>
      <c r="E59" s="2716" t="s">
        <v>6533</v>
      </c>
      <c r="F59" s="294"/>
      <c r="G59" s="307" t="str">
        <f>"("&amp;B59&amp;")"&amp;D59</f>
        <v>(3)有回收风险的货币资金</v>
      </c>
      <c r="H59" s="1517" t="str">
        <f>$A59</f>
        <v>1015c</v>
      </c>
      <c r="I59" s="343" t="s">
        <v>5572</v>
      </c>
      <c r="J59" s="301" t="s">
        <v>5571</v>
      </c>
      <c r="K59" s="2210">
        <f>H67</f>
        <v>0</v>
      </c>
      <c r="L59" s="345"/>
      <c r="M59" s="301"/>
      <c r="N59" s="391"/>
      <c r="O59" s="345" t="str">
        <f>IF($I59="适用",IF(ROUND(N9-N59,2)&gt;=0,"","#Logical!"),"#N/A")</f>
        <v/>
      </c>
      <c r="P59" s="301"/>
      <c r="S59" s="364"/>
      <c r="Z59" s="609" t="s">
        <v>48</v>
      </c>
      <c r="AA59" s="609" t="s">
        <v>5650</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5650</v>
      </c>
    </row>
    <row r="61" spans="1:29" ht="26">
      <c r="A61" s="2714"/>
      <c r="B61" s="371"/>
      <c r="C61" s="371"/>
      <c r="D61" s="371"/>
      <c r="E61" s="2716" t="s">
        <v>2749</v>
      </c>
      <c r="F61" s="294"/>
      <c r="G61" s="1621" t="s">
        <v>47</v>
      </c>
      <c r="H61" s="1619" t="str">
        <f>$V$2</f>
        <v>2019年12月31日</v>
      </c>
      <c r="I61" s="1620" t="s">
        <v>2508</v>
      </c>
      <c r="J61" s="355" t="s">
        <v>6177</v>
      </c>
      <c r="K61" s="291"/>
      <c r="L61" s="291"/>
      <c r="M61" s="291"/>
      <c r="N61" s="291"/>
      <c r="S61" s="364"/>
      <c r="Z61" s="609" t="s">
        <v>48</v>
      </c>
      <c r="AA61" s="609" t="s">
        <v>5650</v>
      </c>
    </row>
    <row r="62" spans="1:29" ht="17">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5650</v>
      </c>
    </row>
    <row r="63" spans="1:29" ht="17">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5650</v>
      </c>
    </row>
    <row r="64" spans="1:29" ht="17">
      <c r="A64" s="2714"/>
      <c r="B64" s="371">
        <v>103</v>
      </c>
      <c r="C64" s="371"/>
      <c r="D64" s="2716">
        <f t="shared" si="3"/>
        <v>1</v>
      </c>
      <c r="E64" s="2721">
        <v>1</v>
      </c>
      <c r="F64" s="294"/>
      <c r="G64" s="308" t="s">
        <v>2824</v>
      </c>
      <c r="H64" s="1476">
        <f>H18</f>
        <v>0</v>
      </c>
      <c r="I64" s="388"/>
      <c r="J64" s="389" t="s">
        <v>6111</v>
      </c>
      <c r="K64" s="291"/>
      <c r="L64" s="291"/>
      <c r="M64" s="291"/>
      <c r="N64" s="291"/>
      <c r="O64" s="291"/>
      <c r="P64" s="291"/>
      <c r="Q64" s="367"/>
      <c r="R64" s="367"/>
      <c r="S64" s="364"/>
      <c r="Z64" s="609" t="s">
        <v>48</v>
      </c>
      <c r="AA64" s="609" t="s">
        <v>5650</v>
      </c>
    </row>
    <row r="65" spans="1:27" ht="17">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5650</v>
      </c>
    </row>
    <row r="66" spans="1:27" ht="17">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5650</v>
      </c>
    </row>
    <row r="67" spans="1:27" ht="1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5650</v>
      </c>
    </row>
    <row r="68" spans="1:27" ht="26.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5650</v>
      </c>
    </row>
    <row r="69" spans="1:27" ht="17">
      <c r="A69" s="2714"/>
      <c r="B69" s="371"/>
      <c r="C69" s="371" t="s">
        <v>2755</v>
      </c>
      <c r="D69" s="371"/>
      <c r="F69" s="294"/>
      <c r="G69" s="314"/>
      <c r="H69" s="315"/>
      <c r="I69" s="393"/>
      <c r="J69" s="350"/>
      <c r="K69" s="291"/>
      <c r="L69" s="291"/>
      <c r="M69" s="291"/>
      <c r="N69" s="291"/>
      <c r="S69" s="364"/>
      <c r="Z69" s="609" t="s">
        <v>48</v>
      </c>
      <c r="AA69" s="609" t="s">
        <v>5650</v>
      </c>
    </row>
    <row r="70" spans="1:27" ht="17">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6">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26">
      <c r="A73" s="2714"/>
      <c r="B73" s="371"/>
      <c r="C73" s="371"/>
      <c r="D73" s="2716"/>
      <c r="E73" s="586" t="s">
        <v>2749</v>
      </c>
      <c r="F73" s="586"/>
      <c r="G73" s="2231" t="s">
        <v>47</v>
      </c>
      <c r="H73" s="2232" t="str">
        <f>$V$2</f>
        <v>2019年12月31日</v>
      </c>
      <c r="I73" s="2233" t="str">
        <f>$V$3</f>
        <v>2018年12月31日</v>
      </c>
      <c r="J73" s="355" t="s">
        <v>5267</v>
      </c>
      <c r="K73" s="392"/>
      <c r="L73" s="393"/>
      <c r="M73" s="315"/>
      <c r="N73" s="392"/>
      <c r="O73" s="393"/>
      <c r="P73" s="315"/>
      <c r="S73" s="364"/>
      <c r="Z73" s="609" t="s">
        <v>137</v>
      </c>
      <c r="AA73" s="609" t="s">
        <v>2827</v>
      </c>
    </row>
    <row r="74" spans="1:27" ht="26">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7">
      <c r="A75" s="2714"/>
      <c r="B75" s="371">
        <v>102</v>
      </c>
      <c r="C75" s="371" t="s">
        <v>2791</v>
      </c>
      <c r="D75" s="2716">
        <f t="shared" si="4"/>
        <v>1</v>
      </c>
      <c r="E75" s="2721">
        <v>0</v>
      </c>
      <c r="F75" s="371"/>
      <c r="G75" s="2222" t="s">
        <v>5632</v>
      </c>
      <c r="H75" s="309"/>
      <c r="I75" s="394"/>
      <c r="J75" s="355" t="s">
        <v>5637</v>
      </c>
      <c r="K75" s="392"/>
      <c r="L75" s="393"/>
      <c r="M75" s="315"/>
      <c r="N75" s="392"/>
      <c r="O75" s="393"/>
      <c r="P75" s="315"/>
      <c r="S75" s="364"/>
      <c r="Z75" s="609" t="s">
        <v>137</v>
      </c>
      <c r="AA75" s="609" t="s">
        <v>2827</v>
      </c>
    </row>
    <row r="76" spans="1:27" ht="17">
      <c r="A76" s="2714"/>
      <c r="B76" s="371">
        <v>103</v>
      </c>
      <c r="C76" s="371" t="s">
        <v>6534</v>
      </c>
      <c r="D76" s="2716">
        <f t="shared" si="4"/>
        <v>1</v>
      </c>
      <c r="E76" s="2721">
        <v>0</v>
      </c>
      <c r="F76" s="371"/>
      <c r="G76" s="578" t="s">
        <v>5633</v>
      </c>
      <c r="H76" s="309"/>
      <c r="I76" s="394"/>
      <c r="J76" s="355" t="s">
        <v>2805</v>
      </c>
      <c r="K76" s="392"/>
      <c r="L76" s="393"/>
      <c r="M76" s="315"/>
      <c r="N76" s="392"/>
      <c r="O76" s="393"/>
      <c r="P76" s="315"/>
      <c r="S76" s="364"/>
      <c r="Z76" s="609" t="s">
        <v>137</v>
      </c>
      <c r="AA76" s="609" t="s">
        <v>2827</v>
      </c>
    </row>
    <row r="77" spans="1:27" ht="17">
      <c r="A77" s="2714"/>
      <c r="B77" s="371">
        <v>104</v>
      </c>
      <c r="C77" s="371" t="s">
        <v>2791</v>
      </c>
      <c r="D77" s="2716">
        <f t="shared" si="4"/>
        <v>1</v>
      </c>
      <c r="E77" s="2721">
        <v>0</v>
      </c>
      <c r="F77" s="371"/>
      <c r="G77" s="578" t="s">
        <v>5634</v>
      </c>
      <c r="H77" s="309"/>
      <c r="I77" s="394"/>
      <c r="J77" s="355"/>
      <c r="K77" s="392"/>
      <c r="L77" s="393"/>
      <c r="M77" s="315"/>
      <c r="N77" s="392"/>
      <c r="O77" s="393"/>
      <c r="P77" s="315"/>
      <c r="S77" s="364"/>
      <c r="Z77" s="609" t="s">
        <v>137</v>
      </c>
      <c r="AA77" s="609" t="s">
        <v>2827</v>
      </c>
    </row>
    <row r="78" spans="1:27" ht="17">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7">
      <c r="A79" s="2714"/>
      <c r="B79" s="371">
        <v>106</v>
      </c>
      <c r="C79" s="371" t="s">
        <v>6534</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7">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6">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7">
      <c r="A82" s="2714"/>
      <c r="B82" s="371">
        <v>109</v>
      </c>
      <c r="C82" s="371" t="s">
        <v>2791</v>
      </c>
      <c r="D82" s="2716">
        <f t="shared" si="4"/>
        <v>1</v>
      </c>
      <c r="E82" s="2721">
        <v>0</v>
      </c>
      <c r="F82" s="371"/>
      <c r="G82" s="2222" t="s">
        <v>5635</v>
      </c>
      <c r="H82" s="309"/>
      <c r="I82" s="394"/>
      <c r="J82" s="315"/>
      <c r="K82" s="392"/>
      <c r="L82" s="393"/>
      <c r="M82" s="315"/>
      <c r="N82" s="392"/>
      <c r="O82" s="393"/>
      <c r="P82" s="315"/>
      <c r="S82" s="364"/>
      <c r="Z82" s="609" t="s">
        <v>137</v>
      </c>
      <c r="AA82" s="609" t="s">
        <v>2827</v>
      </c>
    </row>
    <row r="83" spans="1:27" ht="17">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7">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7">
      <c r="A85" s="2714"/>
      <c r="B85" s="371">
        <v>112</v>
      </c>
      <c r="C85" s="371" t="s">
        <v>6534</v>
      </c>
      <c r="D85" s="2716">
        <f t="shared" si="4"/>
        <v>1</v>
      </c>
      <c r="E85" s="2721">
        <v>0</v>
      </c>
      <c r="F85" s="371"/>
      <c r="G85" s="578" t="s">
        <v>5636</v>
      </c>
      <c r="H85" s="309"/>
      <c r="I85" s="394"/>
      <c r="J85" s="355" t="s">
        <v>5639</v>
      </c>
      <c r="K85" s="392"/>
      <c r="L85" s="393"/>
      <c r="M85" s="315"/>
      <c r="N85" s="392"/>
      <c r="O85" s="393"/>
      <c r="P85" s="315"/>
      <c r="S85" s="364"/>
      <c r="Z85" s="609" t="s">
        <v>137</v>
      </c>
      <c r="AA85" s="609" t="s">
        <v>2827</v>
      </c>
    </row>
    <row r="86" spans="1:27" ht="17">
      <c r="A86" s="2714"/>
      <c r="B86" s="371">
        <v>113</v>
      </c>
      <c r="C86" s="371" t="s">
        <v>2791</v>
      </c>
      <c r="D86" s="2716">
        <f t="shared" si="4"/>
        <v>0</v>
      </c>
      <c r="E86" s="2721">
        <v>1</v>
      </c>
      <c r="F86" s="371"/>
      <c r="G86" s="625" t="s">
        <v>2792</v>
      </c>
      <c r="H86" s="309"/>
      <c r="I86" s="394"/>
      <c r="J86" s="355" t="s">
        <v>5638</v>
      </c>
      <c r="K86" s="392"/>
      <c r="L86" s="393"/>
      <c r="M86" s="315"/>
      <c r="N86" s="392"/>
      <c r="O86" s="393"/>
      <c r="P86" s="315"/>
      <c r="S86" s="364"/>
      <c r="Z86" s="609" t="s">
        <v>137</v>
      </c>
      <c r="AA86" s="609" t="s">
        <v>2827</v>
      </c>
    </row>
    <row r="87" spans="1:27" ht="1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7">
      <c r="A88" s="2714"/>
      <c r="B88" s="371"/>
      <c r="C88" s="371" t="s">
        <v>2755</v>
      </c>
      <c r="D88" s="2716"/>
      <c r="F88" s="371"/>
      <c r="G88" s="376"/>
      <c r="H88" s="315"/>
      <c r="I88" s="396"/>
      <c r="J88" s="315"/>
      <c r="K88" s="392"/>
      <c r="L88" s="393"/>
      <c r="M88" s="315"/>
      <c r="N88" s="392"/>
      <c r="O88" s="393"/>
      <c r="P88" s="315"/>
      <c r="S88" s="364"/>
      <c r="Z88" s="609" t="s">
        <v>137</v>
      </c>
      <c r="AA88" s="609" t="s">
        <v>2827</v>
      </c>
    </row>
    <row r="89" spans="1:27" ht="26">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6576</v>
      </c>
    </row>
    <row r="90" spans="1:27" ht="39">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5651</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5651</v>
      </c>
    </row>
    <row r="92" spans="1:27" ht="26">
      <c r="A92" s="2714"/>
      <c r="B92" s="371"/>
      <c r="C92" s="371"/>
      <c r="D92" s="371"/>
      <c r="E92" s="2716" t="s">
        <v>2749</v>
      </c>
      <c r="F92" s="294"/>
      <c r="G92" s="2287" t="s">
        <v>47</v>
      </c>
      <c r="H92" s="1454" t="str">
        <f>$V$2</f>
        <v>2019年12月31日</v>
      </c>
      <c r="I92" s="1455" t="str">
        <f>$V$3</f>
        <v>2018年12月31日</v>
      </c>
      <c r="J92" s="355" t="s">
        <v>5268</v>
      </c>
      <c r="K92" s="291"/>
      <c r="L92" s="291"/>
      <c r="M92" s="291"/>
      <c r="S92" s="364"/>
      <c r="Z92" s="609" t="s">
        <v>108</v>
      </c>
      <c r="AA92" s="609" t="s">
        <v>5651</v>
      </c>
    </row>
    <row r="93" spans="1:27" ht="17">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5651</v>
      </c>
    </row>
    <row r="94" spans="1:27" ht="17">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5651</v>
      </c>
    </row>
    <row r="95" spans="1:27" ht="17">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5651</v>
      </c>
    </row>
    <row r="96" spans="1:27" ht="17">
      <c r="A96" s="2714"/>
      <c r="B96" s="371">
        <v>101.003</v>
      </c>
      <c r="C96" s="371" t="s">
        <v>2791</v>
      </c>
      <c r="D96" s="2716">
        <f t="shared" si="5"/>
        <v>1</v>
      </c>
      <c r="E96" s="2721" t="s">
        <v>2835</v>
      </c>
      <c r="F96" s="294"/>
      <c r="G96" s="578" t="s">
        <v>2838</v>
      </c>
      <c r="H96" s="2277">
        <v>0</v>
      </c>
      <c r="I96" s="346"/>
      <c r="J96" s="355" t="s">
        <v>6125</v>
      </c>
      <c r="K96" s="291"/>
      <c r="L96" s="291"/>
      <c r="M96" s="291"/>
      <c r="N96" s="291"/>
      <c r="O96" s="291"/>
      <c r="P96" s="291"/>
      <c r="Q96" s="367"/>
      <c r="R96" s="367"/>
      <c r="S96" s="364"/>
      <c r="Z96" s="609" t="s">
        <v>108</v>
      </c>
      <c r="AA96" s="609" t="s">
        <v>5651</v>
      </c>
    </row>
    <row r="97" spans="1:27" ht="17">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5651</v>
      </c>
    </row>
    <row r="98" spans="1:27" ht="17">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5651</v>
      </c>
    </row>
    <row r="99" spans="1:27" ht="17">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5651</v>
      </c>
    </row>
    <row r="100" spans="1:27" ht="39">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5651</v>
      </c>
    </row>
    <row r="101" spans="1:27" ht="17">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5651</v>
      </c>
    </row>
    <row r="102" spans="1:27" ht="17">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5651</v>
      </c>
    </row>
    <row r="103" spans="1:27" ht="17">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5651</v>
      </c>
    </row>
    <row r="104" spans="1:27" ht="17">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5651</v>
      </c>
    </row>
    <row r="105" spans="1:27" ht="39">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5651</v>
      </c>
    </row>
    <row r="106" spans="1:27" ht="1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5651</v>
      </c>
    </row>
    <row r="107" spans="1:27" ht="17">
      <c r="A107" s="2714"/>
      <c r="B107" s="371"/>
      <c r="C107" s="371" t="s">
        <v>2755</v>
      </c>
      <c r="D107" s="371"/>
      <c r="F107" s="294"/>
      <c r="G107" s="301"/>
      <c r="H107" s="315"/>
      <c r="I107" s="315"/>
      <c r="J107" s="291"/>
      <c r="K107" s="291"/>
      <c r="L107" s="291"/>
      <c r="M107" s="291"/>
      <c r="S107" s="364"/>
      <c r="Z107" s="609" t="s">
        <v>108</v>
      </c>
      <c r="AA107" s="609" t="s">
        <v>5651</v>
      </c>
    </row>
    <row r="108" spans="1:27" ht="17">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5652</v>
      </c>
    </row>
    <row r="109" spans="1:27" ht="17">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5652</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5652</v>
      </c>
    </row>
    <row r="111" spans="1:27" ht="26">
      <c r="A111" s="2714"/>
      <c r="B111" s="371"/>
      <c r="C111" s="371"/>
      <c r="D111" s="371"/>
      <c r="E111" s="586" t="s">
        <v>2749</v>
      </c>
      <c r="F111" s="363"/>
      <c r="G111" s="2228" t="s">
        <v>47</v>
      </c>
      <c r="H111" s="2225" t="str">
        <f>$V$2</f>
        <v>2019年12月31日</v>
      </c>
      <c r="I111" s="2226" t="str">
        <f>$V$3</f>
        <v>2018年12月31日</v>
      </c>
      <c r="J111" s="355" t="s">
        <v>5269</v>
      </c>
      <c r="K111" s="291"/>
      <c r="L111" s="291"/>
      <c r="M111" s="291"/>
      <c r="O111" s="355" t="s">
        <v>2847</v>
      </c>
      <c r="P111" s="355"/>
      <c r="S111" s="364"/>
      <c r="Z111" s="609" t="s">
        <v>149</v>
      </c>
      <c r="AA111" s="609" t="s">
        <v>5652</v>
      </c>
    </row>
    <row r="112" spans="1:27" ht="17">
      <c r="A112" s="2714"/>
      <c r="B112" s="371">
        <v>101</v>
      </c>
      <c r="C112" s="371" t="s">
        <v>2791</v>
      </c>
      <c r="D112" s="2716">
        <f t="shared" ref="D112:D117" si="6">IF(OR(G112="*",G112="",G112=0),0,COUNTIF($G$112:$G$117,G112))</f>
        <v>1</v>
      </c>
      <c r="E112" s="2721">
        <v>1</v>
      </c>
      <c r="F112" s="294"/>
      <c r="G112" s="2222" t="s">
        <v>5640</v>
      </c>
      <c r="H112" s="309"/>
      <c r="I112" s="346"/>
      <c r="J112" s="291"/>
      <c r="K112" s="291"/>
      <c r="L112" s="291"/>
      <c r="M112" s="291"/>
      <c r="N112" s="291"/>
      <c r="O112" s="291"/>
      <c r="P112" s="291"/>
      <c r="Q112" s="367"/>
      <c r="R112" s="367"/>
      <c r="S112" s="364"/>
      <c r="Z112" s="609" t="s">
        <v>149</v>
      </c>
      <c r="AA112" s="609" t="s">
        <v>5652</v>
      </c>
    </row>
    <row r="113" spans="1:29" ht="17">
      <c r="A113" s="2714"/>
      <c r="B113" s="371">
        <v>102</v>
      </c>
      <c r="C113" s="371" t="s">
        <v>2791</v>
      </c>
      <c r="D113" s="2716">
        <f t="shared" si="6"/>
        <v>1</v>
      </c>
      <c r="E113" s="2721">
        <v>1</v>
      </c>
      <c r="F113" s="294"/>
      <c r="G113" s="2222" t="s">
        <v>5641</v>
      </c>
      <c r="H113" s="309"/>
      <c r="I113" s="346"/>
      <c r="J113" s="355" t="s">
        <v>5643</v>
      </c>
      <c r="K113" s="291"/>
      <c r="L113" s="291"/>
      <c r="M113" s="291"/>
      <c r="N113" s="291"/>
      <c r="O113" s="291"/>
      <c r="P113" s="291"/>
      <c r="Q113" s="367"/>
      <c r="R113" s="367"/>
      <c r="S113" s="364"/>
      <c r="Z113" s="609" t="s">
        <v>149</v>
      </c>
      <c r="AA113" s="609" t="s">
        <v>5652</v>
      </c>
    </row>
    <row r="114" spans="1:29" ht="17">
      <c r="A114" s="2714"/>
      <c r="B114" s="371">
        <v>103</v>
      </c>
      <c r="C114" s="371" t="s">
        <v>2791</v>
      </c>
      <c r="D114" s="2716">
        <f t="shared" si="6"/>
        <v>1</v>
      </c>
      <c r="E114" s="2721">
        <v>1</v>
      </c>
      <c r="F114" s="294"/>
      <c r="G114" s="2222" t="s">
        <v>5642</v>
      </c>
      <c r="H114" s="309"/>
      <c r="I114" s="346"/>
      <c r="J114" s="291"/>
      <c r="K114" s="291"/>
      <c r="L114" s="291"/>
      <c r="M114" s="291"/>
      <c r="N114" s="291"/>
      <c r="O114" s="291"/>
      <c r="P114" s="291"/>
      <c r="Q114" s="367"/>
      <c r="R114" s="367"/>
      <c r="S114" s="364"/>
      <c r="Z114" s="609" t="s">
        <v>149</v>
      </c>
      <c r="AA114" s="609" t="s">
        <v>5652</v>
      </c>
    </row>
    <row r="115" spans="1:29" ht="17">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5652</v>
      </c>
    </row>
    <row r="116" spans="1:29" ht="17">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5652</v>
      </c>
    </row>
    <row r="117" spans="1:29" ht="1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5652</v>
      </c>
    </row>
    <row r="118" spans="1:29" ht="17">
      <c r="A118" s="2714"/>
      <c r="B118" s="371"/>
      <c r="C118" s="371" t="s">
        <v>2755</v>
      </c>
      <c r="D118" s="371"/>
      <c r="F118" s="294"/>
      <c r="G118" s="301"/>
      <c r="H118" s="315"/>
      <c r="I118" s="315"/>
      <c r="J118" s="291"/>
      <c r="K118" s="291"/>
      <c r="L118" s="291"/>
      <c r="M118" s="291"/>
      <c r="S118" s="364"/>
      <c r="Z118" s="609" t="s">
        <v>149</v>
      </c>
      <c r="AA118" s="609" t="s">
        <v>5652</v>
      </c>
    </row>
    <row r="119" spans="1:29" ht="17">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7">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145" t="s">
        <v>6002</v>
      </c>
      <c r="H123" s="3176" t="str">
        <f>$V$2</f>
        <v>2019年12月31日</v>
      </c>
      <c r="I123" s="3149"/>
      <c r="J123" s="3149"/>
      <c r="K123" s="3196" t="str">
        <f>$V$3</f>
        <v>2018年12月31日</v>
      </c>
      <c r="L123" s="3179"/>
      <c r="M123" s="3157"/>
      <c r="N123" s="355" t="s">
        <v>5270</v>
      </c>
      <c r="O123" s="349"/>
      <c r="P123" s="301"/>
      <c r="S123" s="364"/>
      <c r="Z123" s="609" t="s">
        <v>161</v>
      </c>
      <c r="AA123" s="609" t="s">
        <v>2880</v>
      </c>
    </row>
    <row r="124" spans="1:29" ht="17">
      <c r="A124" s="2714"/>
      <c r="B124" s="371"/>
      <c r="C124" s="371"/>
      <c r="D124" s="2716"/>
      <c r="E124" s="586" t="s">
        <v>2749</v>
      </c>
      <c r="F124" s="586"/>
      <c r="G124" s="3146"/>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7">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7">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7">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7">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7" hidden="1">
      <c r="A130" s="2714" t="s">
        <v>263</v>
      </c>
      <c r="B130" s="371">
        <v>1</v>
      </c>
      <c r="C130" s="371"/>
      <c r="D130" s="2716" t="str">
        <f>VLOOKUP($A130,Sheet_NoteList,2,0)</f>
        <v>应收票据分类</v>
      </c>
      <c r="E130" s="2716" t="s">
        <v>6610</v>
      </c>
      <c r="F130" s="294"/>
      <c r="G130" s="307" t="str">
        <f>"("&amp;B130&amp;")"&amp;D130</f>
        <v>(1)应收票据分类</v>
      </c>
      <c r="H130" s="1517" t="str">
        <f>$A130</f>
        <v>1121a</v>
      </c>
      <c r="I130" s="343" t="s">
        <v>6613</v>
      </c>
      <c r="J130" s="301" t="s">
        <v>6611</v>
      </c>
      <c r="K130" s="344">
        <f>H136</f>
        <v>0</v>
      </c>
      <c r="L130" s="345" t="str">
        <f>IF($I130="适用",IF(ROUND($K$119-K130,2)=0,"F/S",ROUND($K$119-K130,2)),"#N/A")</f>
        <v>#N/A</v>
      </c>
      <c r="M130" s="301" t="s">
        <v>6612</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26" hidden="1">
      <c r="A132" s="2714"/>
      <c r="B132" s="371"/>
      <c r="C132" s="371"/>
      <c r="D132" s="371"/>
      <c r="E132" s="586" t="s">
        <v>2749</v>
      </c>
      <c r="F132" s="363"/>
      <c r="G132" s="2230" t="s">
        <v>1412</v>
      </c>
      <c r="H132" s="2217" t="str">
        <f>$V$2</f>
        <v>2019年12月31日</v>
      </c>
      <c r="I132" s="2218" t="str">
        <f>$V$3</f>
        <v>2018年12月31日</v>
      </c>
      <c r="J132" s="424" t="s">
        <v>5991</v>
      </c>
      <c r="K132" s="291"/>
      <c r="L132" s="291"/>
      <c r="M132" s="291"/>
      <c r="S132" s="364"/>
      <c r="Z132" s="609" t="s">
        <v>161</v>
      </c>
      <c r="AA132" s="609" t="s">
        <v>2880</v>
      </c>
      <c r="AE132" s="369" t="s">
        <v>2761</v>
      </c>
    </row>
    <row r="133" spans="1:31" ht="17"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7"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7"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7"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7">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4"/>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7">
      <c r="A140" s="2714"/>
      <c r="B140" s="371"/>
      <c r="C140" s="371"/>
      <c r="D140" s="371"/>
      <c r="E140" s="586" t="s">
        <v>2749</v>
      </c>
      <c r="F140" s="363"/>
      <c r="G140" s="2533" t="s">
        <v>6116</v>
      </c>
      <c r="H140" s="2535" t="s">
        <v>6117</v>
      </c>
      <c r="I140" s="355" t="s">
        <v>5270</v>
      </c>
      <c r="J140" s="291"/>
      <c r="K140" s="291"/>
      <c r="L140" s="291"/>
      <c r="M140" s="291"/>
      <c r="N140" s="291"/>
      <c r="O140" s="291"/>
      <c r="P140" s="291"/>
      <c r="Q140" s="367"/>
      <c r="R140" s="367"/>
      <c r="S140" s="364"/>
      <c r="Z140" s="609" t="s">
        <v>161</v>
      </c>
      <c r="AA140" s="609" t="s">
        <v>2880</v>
      </c>
    </row>
    <row r="141" spans="1:31" ht="17">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7">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7">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7">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6">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4"/>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26">
      <c r="A148" s="2714"/>
      <c r="B148" s="371"/>
      <c r="C148" s="371"/>
      <c r="D148" s="371"/>
      <c r="E148" s="2716" t="s">
        <v>2749</v>
      </c>
      <c r="F148" s="294"/>
      <c r="G148" s="2498" t="s">
        <v>1412</v>
      </c>
      <c r="H148" s="2552" t="s">
        <v>5127</v>
      </c>
      <c r="I148" s="2551" t="s">
        <v>5128</v>
      </c>
      <c r="J148" s="355" t="s">
        <v>5270</v>
      </c>
      <c r="K148" s="291"/>
      <c r="L148" s="291"/>
      <c r="M148" s="291"/>
      <c r="N148" s="291"/>
      <c r="O148" s="291"/>
      <c r="S148" s="364"/>
      <c r="Z148" s="609" t="s">
        <v>161</v>
      </c>
      <c r="AA148" s="609" t="s">
        <v>2880</v>
      </c>
    </row>
    <row r="149" spans="1:27" ht="17">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7">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7">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7">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6">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6">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6">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7">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7">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7">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6">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4"/>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26">
      <c r="A162" s="2714"/>
      <c r="B162" s="371"/>
      <c r="C162" s="371"/>
      <c r="D162" s="371"/>
      <c r="E162" s="586" t="s">
        <v>2749</v>
      </c>
      <c r="F162" s="363"/>
      <c r="G162" s="2533" t="s">
        <v>1412</v>
      </c>
      <c r="H162" s="2535" t="s">
        <v>5992</v>
      </c>
      <c r="I162" s="355" t="s">
        <v>5270</v>
      </c>
      <c r="J162" s="291"/>
      <c r="K162" s="291"/>
      <c r="L162" s="291"/>
      <c r="M162" s="291"/>
      <c r="N162" s="291"/>
      <c r="O162" s="291"/>
      <c r="S162" s="364"/>
      <c r="Z162" s="609" t="s">
        <v>161</v>
      </c>
      <c r="AA162" s="609" t="s">
        <v>2880</v>
      </c>
    </row>
    <row r="163" spans="1:29" ht="17">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7">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7">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7">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7">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7">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6">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5371</v>
      </c>
      <c r="I171" s="371" t="s">
        <v>5372</v>
      </c>
      <c r="J171" s="371" t="s">
        <v>5373</v>
      </c>
      <c r="K171" s="371" t="s">
        <v>5374</v>
      </c>
      <c r="L171" s="371" t="s">
        <v>5375</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5376</v>
      </c>
      <c r="I172" s="547" t="s">
        <v>5377</v>
      </c>
      <c r="J172" s="371" t="s">
        <v>5378</v>
      </c>
      <c r="K172" s="547" t="s">
        <v>5379</v>
      </c>
      <c r="L172" s="371" t="s">
        <v>5380</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145" t="s">
        <v>47</v>
      </c>
      <c r="H173" s="3176" t="str">
        <f>$V$2</f>
        <v>2019年12月31日</v>
      </c>
      <c r="I173" s="3176"/>
      <c r="J173" s="3176"/>
      <c r="K173" s="3176"/>
      <c r="L173" s="3153"/>
      <c r="M173" s="355" t="s">
        <v>5270</v>
      </c>
      <c r="N173" s="426"/>
      <c r="O173" s="427"/>
      <c r="P173" s="425"/>
      <c r="Q173" s="442"/>
      <c r="R173" s="443"/>
      <c r="S173" s="364"/>
      <c r="Z173" s="609" t="s">
        <v>161</v>
      </c>
      <c r="AA173" s="609" t="s">
        <v>2880</v>
      </c>
    </row>
    <row r="174" spans="1:29" ht="17">
      <c r="A174" s="2714"/>
      <c r="B174" s="371"/>
      <c r="C174" s="371"/>
      <c r="D174" s="2716"/>
      <c r="E174" s="586" t="s">
        <v>2749</v>
      </c>
      <c r="F174" s="414"/>
      <c r="G174" s="3146"/>
      <c r="H174" s="2237" t="s">
        <v>5993</v>
      </c>
      <c r="I174" s="2237" t="s">
        <v>2888</v>
      </c>
      <c r="J174" s="2237" t="s">
        <v>5994</v>
      </c>
      <c r="K174" s="2239" t="s">
        <v>2889</v>
      </c>
      <c r="L174" s="2240" t="s">
        <v>5995</v>
      </c>
      <c r="M174" s="425"/>
      <c r="N174" s="426"/>
      <c r="O174" s="427"/>
      <c r="P174" s="425"/>
      <c r="Q174" s="442"/>
      <c r="R174" s="443"/>
      <c r="S174" s="364"/>
      <c r="Z174" s="609" t="s">
        <v>161</v>
      </c>
      <c r="AA174" s="609" t="s">
        <v>2880</v>
      </c>
    </row>
    <row r="175" spans="1:29" ht="17">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7">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6137</v>
      </c>
      <c r="N176" s="426"/>
      <c r="O176" s="427"/>
      <c r="P176" s="425"/>
      <c r="Q176" s="442"/>
      <c r="R176" s="443"/>
      <c r="S176" s="364"/>
      <c r="Z176" s="609" t="s">
        <v>161</v>
      </c>
      <c r="AA176" s="609" t="s">
        <v>2880</v>
      </c>
    </row>
    <row r="177" spans="1:29" ht="17">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7">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7">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7">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7">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7">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7.5" thickBot="1">
      <c r="A184" s="2714"/>
      <c r="B184" s="371"/>
      <c r="C184" s="371" t="s">
        <v>2755</v>
      </c>
      <c r="D184" s="2716"/>
      <c r="F184" s="293"/>
      <c r="G184" s="376"/>
      <c r="H184" s="527" t="s">
        <v>3002</v>
      </c>
      <c r="I184" s="432"/>
      <c r="J184" s="527" t="s">
        <v>5997</v>
      </c>
      <c r="K184" s="392"/>
      <c r="L184" s="527" t="s">
        <v>3002</v>
      </c>
      <c r="M184" s="425"/>
      <c r="N184" s="426"/>
      <c r="O184" s="427"/>
      <c r="P184" s="425"/>
      <c r="Q184" s="442"/>
      <c r="R184" s="443"/>
      <c r="S184" s="364"/>
      <c r="Z184" s="609" t="s">
        <v>161</v>
      </c>
      <c r="AA184" s="609" t="s">
        <v>2880</v>
      </c>
    </row>
    <row r="185" spans="1:29" ht="17.5" thickTop="1">
      <c r="A185" s="2714"/>
      <c r="B185" s="371"/>
      <c r="C185" s="371" t="s">
        <v>2565</v>
      </c>
      <c r="D185" s="2716"/>
      <c r="F185" s="293"/>
      <c r="G185" s="1549" t="s">
        <v>5368</v>
      </c>
      <c r="H185" s="1551" t="str">
        <f>G120</f>
        <v>(1)应收票据分类列示</v>
      </c>
      <c r="I185" s="1551"/>
      <c r="J185" s="1552"/>
      <c r="K185" s="1551"/>
      <c r="L185" s="1552"/>
      <c r="M185" s="1553" t="s">
        <v>5369</v>
      </c>
      <c r="N185" s="426"/>
      <c r="O185" s="427"/>
      <c r="P185" s="425"/>
      <c r="Q185" s="442"/>
      <c r="R185" s="442"/>
      <c r="S185" s="364"/>
      <c r="Z185" s="609" t="s">
        <v>161</v>
      </c>
      <c r="AA185" s="609" t="s">
        <v>2880</v>
      </c>
    </row>
    <row r="186" spans="1:29" ht="17">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7">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7">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7">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6">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5381</v>
      </c>
      <c r="I193" s="371" t="s">
        <v>5382</v>
      </c>
      <c r="J193" s="371" t="s">
        <v>5383</v>
      </c>
      <c r="K193" s="547" t="s">
        <v>5384</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5385</v>
      </c>
      <c r="I194" s="371" t="s">
        <v>5386</v>
      </c>
      <c r="J194" s="371" t="s">
        <v>5387</v>
      </c>
      <c r="K194" s="547" t="s">
        <v>5388</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145" t="s">
        <v>5136</v>
      </c>
      <c r="H195" s="3176" t="str">
        <f>$V$2</f>
        <v>2019年12月31日</v>
      </c>
      <c r="I195" s="3149"/>
      <c r="J195" s="3149"/>
      <c r="K195" s="3177"/>
      <c r="L195" s="355" t="s">
        <v>5270</v>
      </c>
      <c r="M195" s="433"/>
      <c r="N195" s="428"/>
      <c r="O195" s="428"/>
      <c r="P195" s="433"/>
      <c r="Q195" s="442"/>
      <c r="R195" s="443"/>
      <c r="S195" s="364"/>
      <c r="Z195" s="609" t="s">
        <v>161</v>
      </c>
      <c r="AA195" s="609" t="s">
        <v>2880</v>
      </c>
    </row>
    <row r="196" spans="1:27" ht="17">
      <c r="A196" s="2714"/>
      <c r="B196" s="371"/>
      <c r="C196" s="371"/>
      <c r="D196" s="2716"/>
      <c r="E196" s="586" t="s">
        <v>2749</v>
      </c>
      <c r="F196" s="414"/>
      <c r="G196" s="3146"/>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7">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7">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7">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7">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7">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7">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7">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7">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7.5" thickTop="1">
      <c r="A207" s="2714"/>
      <c r="B207" s="371"/>
      <c r="C207" s="371" t="s">
        <v>2565</v>
      </c>
      <c r="D207" s="2716"/>
      <c r="F207" s="293"/>
      <c r="G207" s="1549" t="s">
        <v>5368</v>
      </c>
      <c r="H207" s="1550" t="str">
        <f>G170</f>
        <v>(5)应收票据按坏账计提方法分类披露</v>
      </c>
      <c r="I207" s="1552"/>
      <c r="J207" s="1551"/>
      <c r="K207" s="1551"/>
      <c r="L207" s="1553" t="s">
        <v>5369</v>
      </c>
      <c r="M207" s="425"/>
      <c r="N207" s="426"/>
      <c r="O207" s="427"/>
      <c r="P207" s="425"/>
      <c r="Q207" s="442"/>
      <c r="R207" s="442"/>
      <c r="S207" s="364"/>
      <c r="Z207" s="609" t="s">
        <v>161</v>
      </c>
      <c r="AA207" s="609" t="s">
        <v>2880</v>
      </c>
    </row>
    <row r="208" spans="1:27" ht="17">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7">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7">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7">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6">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145" t="s">
        <v>5136</v>
      </c>
      <c r="H217" s="3176" t="str">
        <f>$V$2</f>
        <v>2019年12月31日</v>
      </c>
      <c r="I217" s="3149"/>
      <c r="J217" s="3177"/>
      <c r="K217" s="355" t="s">
        <v>5270</v>
      </c>
      <c r="L217" s="428"/>
      <c r="M217" s="433"/>
      <c r="N217" s="428"/>
      <c r="O217" s="428"/>
      <c r="P217" s="433"/>
      <c r="Q217" s="442"/>
      <c r="R217" s="443"/>
      <c r="S217" s="364"/>
      <c r="Z217" s="609" t="s">
        <v>161</v>
      </c>
      <c r="AA217" s="609" t="s">
        <v>2880</v>
      </c>
    </row>
    <row r="218" spans="1:27" ht="17">
      <c r="A218" s="2714"/>
      <c r="B218" s="371"/>
      <c r="C218" s="371"/>
      <c r="D218" s="2716"/>
      <c r="E218" s="586" t="s">
        <v>2749</v>
      </c>
      <c r="F218" s="414"/>
      <c r="G218" s="3146"/>
      <c r="H218" s="2245" t="s">
        <v>2861</v>
      </c>
      <c r="I218" s="2245" t="s">
        <v>2862</v>
      </c>
      <c r="J218" s="2240" t="s">
        <v>2889</v>
      </c>
      <c r="K218" s="434"/>
      <c r="L218" s="434"/>
      <c r="M218" s="435"/>
      <c r="N218" s="434"/>
      <c r="O218" s="434"/>
      <c r="P218" s="435"/>
      <c r="Q218" s="442"/>
      <c r="R218" s="443"/>
      <c r="S218" s="364"/>
      <c r="Z218" s="609" t="s">
        <v>161</v>
      </c>
      <c r="AA218" s="609" t="s">
        <v>2880</v>
      </c>
    </row>
    <row r="219" spans="1:27" ht="17">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7">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7">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7">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7">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7">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7">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7">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7.5" thickTop="1">
      <c r="A229" s="2714"/>
      <c r="B229" s="371"/>
      <c r="C229" s="371" t="s">
        <v>2565</v>
      </c>
      <c r="D229" s="2716"/>
      <c r="F229" s="293"/>
      <c r="G229" s="1549" t="s">
        <v>5368</v>
      </c>
      <c r="H229" s="1550" t="str">
        <f>G170</f>
        <v>(5)应收票据按坏账计提方法分类披露</v>
      </c>
      <c r="I229" s="1552"/>
      <c r="J229" s="1551"/>
      <c r="K229" s="1553" t="s">
        <v>5369</v>
      </c>
      <c r="L229" s="427"/>
      <c r="M229" s="425"/>
      <c r="N229" s="426"/>
      <c r="O229" s="427"/>
      <c r="P229" s="425"/>
      <c r="Q229" s="442"/>
      <c r="R229" s="442"/>
      <c r="S229" s="364"/>
      <c r="Z229" s="609" t="s">
        <v>161</v>
      </c>
      <c r="AA229" s="609" t="s">
        <v>2880</v>
      </c>
    </row>
    <row r="230" spans="1:27" ht="17">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7">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7">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7">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6">
      <c r="A236" s="2714" t="s">
        <v>6118</v>
      </c>
      <c r="B236" s="371">
        <v>5.3</v>
      </c>
      <c r="C236" s="371"/>
      <c r="D236" s="2716" t="str">
        <f>VLOOKUP($A236,Sheet_NoteList,2,0)</f>
        <v>期末按按组合2计提坏账准备的应收票据</v>
      </c>
      <c r="E236" s="2716" t="s">
        <v>6535</v>
      </c>
      <c r="F236" s="293"/>
      <c r="G236" s="372" t="str">
        <f>"("&amp;B236&amp;")"&amp;D236</f>
        <v>(5.3)期末按按组合2计提坏账准备的应收票据</v>
      </c>
      <c r="H236" s="1517" t="str">
        <f>$A236</f>
        <v>1121n</v>
      </c>
      <c r="I236" s="343" t="s">
        <v>6120</v>
      </c>
      <c r="J236" s="301" t="s">
        <v>6121</v>
      </c>
      <c r="K236" s="2210">
        <f>H249</f>
        <v>0</v>
      </c>
      <c r="L236" s="349" t="str">
        <f>IF($I236="适用",IF(ROUND(K$119-K236,2)=0,"F/S",ROUND(K$119-K236,2)),"#N/A")</f>
        <v>F/S</v>
      </c>
      <c r="M236" s="301" t="s">
        <v>6122</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6123</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147" t="s">
        <v>5949</v>
      </c>
      <c r="H239" s="3143" t="str">
        <f>$V$2</f>
        <v>2019年12月31日</v>
      </c>
      <c r="I239" s="3197"/>
      <c r="J239" s="3198"/>
      <c r="K239" s="355" t="s">
        <v>5950</v>
      </c>
      <c r="L239" s="349"/>
      <c r="M239" s="301"/>
      <c r="N239" s="391"/>
      <c r="O239" s="349"/>
      <c r="P239" s="301"/>
      <c r="S239" s="364"/>
      <c r="Z239" s="609" t="s">
        <v>161</v>
      </c>
      <c r="AA239" s="609" t="s">
        <v>2880</v>
      </c>
    </row>
    <row r="240" spans="1:27" ht="17">
      <c r="A240" s="2714"/>
      <c r="B240" s="371"/>
      <c r="C240" s="371"/>
      <c r="D240" s="2716"/>
      <c r="E240" s="586" t="s">
        <v>2749</v>
      </c>
      <c r="F240" s="414"/>
      <c r="G240" s="3148"/>
      <c r="H240" s="2550" t="s">
        <v>2861</v>
      </c>
      <c r="I240" s="2550" t="s">
        <v>2862</v>
      </c>
      <c r="J240" s="2549" t="s">
        <v>2889</v>
      </c>
      <c r="K240" s="355" t="s">
        <v>6177</v>
      </c>
      <c r="L240" s="349"/>
      <c r="M240" s="301"/>
      <c r="N240" s="391"/>
      <c r="O240" s="349"/>
      <c r="P240" s="301"/>
      <c r="S240" s="364"/>
      <c r="Z240" s="609" t="s">
        <v>161</v>
      </c>
      <c r="AA240" s="609" t="s">
        <v>2880</v>
      </c>
    </row>
    <row r="241" spans="1:27" ht="17">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7">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7">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7">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7">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7">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7">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7">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7">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6">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145" t="s">
        <v>5135</v>
      </c>
      <c r="H254" s="3176" t="str">
        <f>$V$3</f>
        <v>2018年12月31日</v>
      </c>
      <c r="I254" s="3149" t="s">
        <v>5210</v>
      </c>
      <c r="J254" s="3176" t="str">
        <f>$X$3</f>
        <v>2019年1月1日</v>
      </c>
      <c r="K254" s="3179" t="s">
        <v>2919</v>
      </c>
      <c r="L254" s="3179"/>
      <c r="M254" s="3179"/>
      <c r="N254" s="3265" t="str">
        <f>$V$2</f>
        <v>2019年12月31日</v>
      </c>
      <c r="O254" s="355" t="s">
        <v>5270</v>
      </c>
      <c r="P254" s="433"/>
      <c r="Q254" s="442"/>
      <c r="R254" s="443"/>
      <c r="S254" s="364"/>
      <c r="Z254" s="609" t="s">
        <v>161</v>
      </c>
      <c r="AA254" s="609" t="s">
        <v>2880</v>
      </c>
    </row>
    <row r="255" spans="1:27" ht="26">
      <c r="A255" s="2714"/>
      <c r="B255" s="371"/>
      <c r="C255" s="371"/>
      <c r="D255" s="2716"/>
      <c r="E255" s="586" t="s">
        <v>2749</v>
      </c>
      <c r="F255" s="414"/>
      <c r="G255" s="3146"/>
      <c r="H255" s="3150"/>
      <c r="I255" s="3150"/>
      <c r="J255" s="3150"/>
      <c r="K255" s="2239" t="s">
        <v>5211</v>
      </c>
      <c r="L255" s="2239" t="s">
        <v>5212</v>
      </c>
      <c r="M255" s="2237" t="s">
        <v>5213</v>
      </c>
      <c r="N255" s="3158"/>
      <c r="O255" s="434"/>
      <c r="P255" s="435"/>
      <c r="Q255" s="442"/>
      <c r="R255" s="443"/>
      <c r="S255" s="364"/>
      <c r="Z255" s="609" t="s">
        <v>161</v>
      </c>
      <c r="AA255" s="609" t="s">
        <v>2880</v>
      </c>
    </row>
    <row r="256" spans="1:27" ht="17">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7">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7">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7">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7">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7">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7">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7">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7.5" thickTop="1">
      <c r="A266" s="2714"/>
      <c r="B266" s="371"/>
      <c r="C266" s="371" t="s">
        <v>2565</v>
      </c>
      <c r="D266" s="2716"/>
      <c r="F266" s="293"/>
      <c r="G266" s="1549" t="s">
        <v>5368</v>
      </c>
      <c r="H266" s="1550" t="str">
        <f>G120</f>
        <v>(1)应收票据分类列示</v>
      </c>
      <c r="I266" s="1551"/>
      <c r="J266" s="1551"/>
      <c r="K266" s="1551"/>
      <c r="L266" s="1551"/>
      <c r="M266" s="1551"/>
      <c r="N266" s="1552"/>
      <c r="O266" s="1553" t="s">
        <v>5369</v>
      </c>
      <c r="P266" s="425"/>
      <c r="Q266" s="442"/>
      <c r="R266" s="442"/>
      <c r="S266" s="364"/>
      <c r="Z266" s="609" t="s">
        <v>161</v>
      </c>
      <c r="AA266" s="609" t="s">
        <v>2880</v>
      </c>
    </row>
    <row r="267" spans="1:27" ht="17">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7">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7">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7">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6">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26">
      <c r="A275" s="2714"/>
      <c r="B275" s="371"/>
      <c r="C275" s="371"/>
      <c r="D275" s="2716"/>
      <c r="E275" s="586" t="s">
        <v>2749</v>
      </c>
      <c r="F275" s="414"/>
      <c r="G275" s="2231" t="s">
        <v>1465</v>
      </c>
      <c r="H275" s="2246" t="s">
        <v>2922</v>
      </c>
      <c r="I275" s="2247" t="s">
        <v>2923</v>
      </c>
      <c r="J275" s="355" t="s">
        <v>5270</v>
      </c>
      <c r="K275" s="434"/>
      <c r="L275" s="434"/>
      <c r="M275" s="435"/>
      <c r="N275" s="434"/>
      <c r="O275" s="434"/>
      <c r="P275" s="435"/>
      <c r="Q275" s="442"/>
      <c r="R275" s="443"/>
      <c r="S275" s="364"/>
      <c r="Z275" s="609" t="s">
        <v>161</v>
      </c>
      <c r="AA275" s="609" t="s">
        <v>2880</v>
      </c>
    </row>
    <row r="276" spans="1:27" ht="17">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7">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7">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7">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7">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7">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7">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7">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7">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6">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7">
      <c r="A288" s="2714"/>
      <c r="B288" s="371"/>
      <c r="C288" s="371"/>
      <c r="D288" s="2716"/>
      <c r="E288" s="586" t="s">
        <v>2749</v>
      </c>
      <c r="F288" s="414"/>
      <c r="G288" s="2231" t="s">
        <v>47</v>
      </c>
      <c r="H288" s="2247" t="s">
        <v>2925</v>
      </c>
      <c r="I288" s="355" t="s">
        <v>5270</v>
      </c>
      <c r="J288" s="435"/>
      <c r="K288" s="434"/>
      <c r="L288" s="434"/>
      <c r="M288" s="435"/>
      <c r="N288" s="434"/>
      <c r="O288" s="434"/>
      <c r="P288" s="435"/>
      <c r="Q288" s="442"/>
      <c r="R288" s="443"/>
      <c r="S288" s="364"/>
      <c r="Z288" s="609" t="s">
        <v>161</v>
      </c>
      <c r="AA288" s="609" t="s">
        <v>2880</v>
      </c>
    </row>
    <row r="289" spans="1:27" ht="17">
      <c r="A289" s="2714"/>
      <c r="B289" s="371">
        <v>101</v>
      </c>
      <c r="C289" s="371"/>
      <c r="D289" s="2716">
        <f>IF(OR(G289="*",G289="",G289=0),0,COUNTIF($G$289:$G$291,G289))</f>
        <v>1</v>
      </c>
      <c r="E289" s="2721">
        <v>1</v>
      </c>
      <c r="F289" s="293"/>
      <c r="G289" s="1474" t="s">
        <v>5996</v>
      </c>
      <c r="H289" s="346"/>
      <c r="I289" s="445"/>
      <c r="J289" s="438"/>
      <c r="K289" s="439"/>
      <c r="L289" s="437"/>
      <c r="M289" s="438"/>
      <c r="N289" s="439"/>
      <c r="O289" s="437"/>
      <c r="P289" s="438"/>
      <c r="Q289" s="442"/>
      <c r="R289" s="443"/>
      <c r="S289" s="364"/>
      <c r="Z289" s="609" t="s">
        <v>161</v>
      </c>
      <c r="AA289" s="609" t="s">
        <v>2880</v>
      </c>
    </row>
    <row r="290" spans="1:27" ht="17">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7">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6">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6">
      <c r="A295" s="2714"/>
      <c r="B295" s="371"/>
      <c r="C295" s="371"/>
      <c r="D295" s="2716"/>
      <c r="E295" s="586" t="s">
        <v>2749</v>
      </c>
      <c r="F295" s="414"/>
      <c r="G295" s="2231" t="s">
        <v>1465</v>
      </c>
      <c r="H295" s="2246" t="s">
        <v>2931</v>
      </c>
      <c r="I295" s="2246" t="s">
        <v>2925</v>
      </c>
      <c r="J295" s="2246" t="s">
        <v>2932</v>
      </c>
      <c r="K295" s="2248" t="s">
        <v>2933</v>
      </c>
      <c r="L295" s="2249" t="s">
        <v>2934</v>
      </c>
      <c r="M295" s="355" t="s">
        <v>5270</v>
      </c>
      <c r="N295" s="434"/>
      <c r="O295" s="434"/>
      <c r="P295" s="435"/>
      <c r="Q295" s="442"/>
      <c r="R295" s="443"/>
      <c r="S295" s="364"/>
      <c r="Z295" s="609" t="s">
        <v>161</v>
      </c>
      <c r="AA295" s="609" t="s">
        <v>2880</v>
      </c>
    </row>
    <row r="296" spans="1:27" ht="17">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7">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7">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7">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7">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7">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7">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7">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7">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7">
      <c r="A306" s="2714" t="s">
        <v>5586</v>
      </c>
      <c r="B306" s="371">
        <v>8</v>
      </c>
      <c r="C306" s="371"/>
      <c r="D306" s="2716" t="str">
        <f>VLOOKUP($A306,Sheet_NoteList,2,0)</f>
        <v>外币应收票据</v>
      </c>
      <c r="E306" s="2716" t="s">
        <v>6533</v>
      </c>
      <c r="F306" s="293"/>
      <c r="G306" s="372" t="str">
        <f>"("&amp;B306&amp;")"&amp;D306</f>
        <v>(8)外币应收票据</v>
      </c>
      <c r="H306" s="1517" t="str">
        <f>$A306</f>
        <v>1121m</v>
      </c>
      <c r="I306" s="343" t="s">
        <v>5592</v>
      </c>
      <c r="J306" s="301" t="s">
        <v>5593</v>
      </c>
      <c r="K306" s="2210">
        <f>H314</f>
        <v>0</v>
      </c>
      <c r="L306" s="349" t="str">
        <f>IF($I306="适用",IF(ROUND(K$119-K306,2)=0,"F/S",ROUND(K$119-K306,2)),"#N/A")</f>
        <v>F/S</v>
      </c>
      <c r="M306" s="301" t="s">
        <v>5594</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5595</v>
      </c>
      <c r="H307" s="371" t="s">
        <v>3073</v>
      </c>
      <c r="I307" s="371" t="s">
        <v>3074</v>
      </c>
      <c r="J307" s="371" t="s">
        <v>3075</v>
      </c>
      <c r="K307" s="391"/>
      <c r="L307" s="349"/>
      <c r="M307" s="301"/>
      <c r="N307" s="391"/>
      <c r="O307" s="349"/>
      <c r="P307" s="301"/>
      <c r="S307" s="364"/>
      <c r="Z307" s="609" t="s">
        <v>161</v>
      </c>
      <c r="AA307" s="609" t="s">
        <v>2880</v>
      </c>
    </row>
    <row r="308" spans="1:27" ht="26">
      <c r="A308" s="2714"/>
      <c r="B308" s="371"/>
      <c r="C308" s="371"/>
      <c r="D308" s="2716"/>
      <c r="E308" s="2716" t="s">
        <v>2749</v>
      </c>
      <c r="F308" s="293"/>
      <c r="G308" s="1635" t="s">
        <v>47</v>
      </c>
      <c r="H308" s="1627" t="s">
        <v>3076</v>
      </c>
      <c r="I308" s="1627" t="s">
        <v>3077</v>
      </c>
      <c r="J308" s="1628" t="s">
        <v>3078</v>
      </c>
      <c r="K308" s="355" t="s">
        <v>5605</v>
      </c>
      <c r="L308" s="291"/>
      <c r="M308" s="301"/>
      <c r="N308" s="391"/>
      <c r="O308" s="349"/>
      <c r="P308" s="301"/>
      <c r="S308" s="364"/>
      <c r="Z308" s="609" t="s">
        <v>161</v>
      </c>
      <c r="AA308" s="609" t="s">
        <v>2880</v>
      </c>
    </row>
    <row r="309" spans="1:27" ht="17">
      <c r="A309" s="2714"/>
      <c r="B309" s="371">
        <v>101</v>
      </c>
      <c r="C309" s="371" t="s">
        <v>2791</v>
      </c>
      <c r="D309" s="2716">
        <f t="shared" ref="D309:D314" si="24">IF(OR(G309="*",G309="",G309=0),0,COUNTIF($G$309:$G$314,G309))</f>
        <v>1</v>
      </c>
      <c r="E309" s="2721">
        <v>1</v>
      </c>
      <c r="F309" s="293"/>
      <c r="G309" s="1626" t="s">
        <v>3079</v>
      </c>
      <c r="H309" s="1577"/>
      <c r="I309" s="430"/>
      <c r="J309" s="346"/>
      <c r="K309" s="355" t="s">
        <v>5365</v>
      </c>
      <c r="L309" s="1522" t="s">
        <v>5366</v>
      </c>
      <c r="M309" s="301"/>
      <c r="N309" s="391"/>
      <c r="O309" s="349"/>
      <c r="P309" s="301"/>
      <c r="S309" s="364"/>
      <c r="Z309" s="609" t="s">
        <v>161</v>
      </c>
      <c r="AA309" s="609" t="s">
        <v>2880</v>
      </c>
    </row>
    <row r="310" spans="1:27" ht="17">
      <c r="A310" s="2714"/>
      <c r="B310" s="371">
        <v>102</v>
      </c>
      <c r="C310" s="371" t="s">
        <v>2791</v>
      </c>
      <c r="D310" s="2716">
        <f t="shared" si="24"/>
        <v>1</v>
      </c>
      <c r="E310" s="2721">
        <v>1</v>
      </c>
      <c r="F310" s="293"/>
      <c r="G310" s="1626" t="s">
        <v>3080</v>
      </c>
      <c r="H310" s="1577"/>
      <c r="I310" s="430"/>
      <c r="J310" s="346"/>
      <c r="K310" s="355" t="s">
        <v>6177</v>
      </c>
      <c r="L310" s="349"/>
      <c r="M310" s="301"/>
      <c r="N310" s="391"/>
      <c r="O310" s="349"/>
      <c r="P310" s="301"/>
      <c r="S310" s="364"/>
      <c r="Z310" s="609" t="s">
        <v>161</v>
      </c>
      <c r="AA310" s="609" t="s">
        <v>2880</v>
      </c>
    </row>
    <row r="311" spans="1:27" ht="17">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7">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7">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7">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7">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7">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5389</v>
      </c>
      <c r="I318" s="371" t="s">
        <v>5390</v>
      </c>
      <c r="J318" s="433"/>
      <c r="K318" s="433"/>
      <c r="L318" s="433"/>
      <c r="M318" s="433"/>
      <c r="N318" s="428"/>
      <c r="O318" s="428"/>
      <c r="P318" s="433"/>
      <c r="Q318" s="442"/>
      <c r="R318" s="443"/>
      <c r="S318" s="364"/>
      <c r="Z318" s="609" t="s">
        <v>273</v>
      </c>
      <c r="AA318" s="609" t="s">
        <v>2935</v>
      </c>
    </row>
    <row r="319" spans="1:27" ht="26">
      <c r="A319" s="2714"/>
      <c r="B319" s="371"/>
      <c r="C319" s="371"/>
      <c r="D319" s="2716"/>
      <c r="E319" s="586" t="s">
        <v>2749</v>
      </c>
      <c r="F319" s="414"/>
      <c r="G319" s="2231" t="s">
        <v>5134</v>
      </c>
      <c r="H319" s="2232" t="str">
        <f>$V$2</f>
        <v>2019年12月31日</v>
      </c>
      <c r="I319" s="2233" t="str">
        <f>$V$3</f>
        <v>2018年12月31日</v>
      </c>
      <c r="J319" s="355" t="s">
        <v>5271</v>
      </c>
      <c r="K319" s="433"/>
      <c r="L319" s="433"/>
      <c r="M319" s="433"/>
      <c r="N319" s="434"/>
      <c r="O319" s="434"/>
      <c r="P319" s="435"/>
      <c r="Q319" s="442"/>
      <c r="R319" s="443"/>
      <c r="S319" s="364"/>
      <c r="Z319" s="609" t="s">
        <v>273</v>
      </c>
      <c r="AA319" s="609" t="s">
        <v>2935</v>
      </c>
    </row>
    <row r="320" spans="1:27" ht="17">
      <c r="A320" s="2714"/>
      <c r="B320" s="371">
        <v>101</v>
      </c>
      <c r="C320" s="371"/>
      <c r="D320" s="2716">
        <f t="shared" ref="D320:D332" si="25">IF(OR(G320="*",G320="",G320=0),0,COUNTIF($G$320:$G$332,G320))</f>
        <v>1</v>
      </c>
      <c r="E320" s="2721" t="s">
        <v>6536</v>
      </c>
      <c r="F320" s="293"/>
      <c r="G320" s="1474" t="s">
        <v>2938</v>
      </c>
      <c r="H320" s="309"/>
      <c r="I320" s="394"/>
      <c r="J320" s="433"/>
      <c r="K320" s="433"/>
      <c r="L320" s="433"/>
      <c r="M320" s="433"/>
      <c r="N320" s="439"/>
      <c r="O320" s="437"/>
      <c r="P320" s="438"/>
      <c r="Q320" s="442"/>
      <c r="R320" s="443"/>
      <c r="S320" s="364"/>
      <c r="Z320" s="609" t="s">
        <v>273</v>
      </c>
      <c r="AA320" s="609" t="s">
        <v>2935</v>
      </c>
    </row>
    <row r="321" spans="1:29" ht="17">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7">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7">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7">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7">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7">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7">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7">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7">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7">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7">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7">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9">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5391</v>
      </c>
      <c r="I335" s="547" t="s">
        <v>5392</v>
      </c>
      <c r="J335" s="371" t="s">
        <v>5393</v>
      </c>
      <c r="K335" s="547" t="s">
        <v>5394</v>
      </c>
      <c r="L335" s="371" t="s">
        <v>5395</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5376</v>
      </c>
      <c r="I336" s="371" t="s">
        <v>5377</v>
      </c>
      <c r="J336" s="371" t="s">
        <v>5378</v>
      </c>
      <c r="K336" s="547" t="s">
        <v>5379</v>
      </c>
      <c r="L336" s="547" t="s">
        <v>5380</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145" t="s">
        <v>5135</v>
      </c>
      <c r="H337" s="3176" t="str">
        <f>$V$2</f>
        <v>2019年12月31日</v>
      </c>
      <c r="I337" s="3176"/>
      <c r="J337" s="3176"/>
      <c r="K337" s="3176"/>
      <c r="L337" s="3153"/>
      <c r="M337" s="355" t="s">
        <v>5271</v>
      </c>
      <c r="N337" s="428"/>
      <c r="O337" s="428"/>
      <c r="P337" s="433"/>
      <c r="Q337" s="442"/>
      <c r="R337" s="443"/>
      <c r="S337" s="364"/>
      <c r="Z337" s="609" t="s">
        <v>273</v>
      </c>
      <c r="AA337" s="609" t="s">
        <v>2935</v>
      </c>
    </row>
    <row r="338" spans="1:29" ht="17">
      <c r="A338" s="2714"/>
      <c r="B338" s="371"/>
      <c r="C338" s="371"/>
      <c r="D338" s="2716"/>
      <c r="E338" s="586" t="s">
        <v>2749</v>
      </c>
      <c r="F338" s="414"/>
      <c r="G338" s="3146"/>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7">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6575</v>
      </c>
    </row>
    <row r="340" spans="1:29" ht="17">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6137</v>
      </c>
      <c r="N340" s="439"/>
      <c r="O340" s="437"/>
      <c r="P340" s="438"/>
      <c r="Q340" s="442"/>
      <c r="R340" s="443"/>
      <c r="S340" s="364"/>
      <c r="Z340" s="609" t="s">
        <v>273</v>
      </c>
      <c r="AA340" s="609" t="s">
        <v>2935</v>
      </c>
    </row>
    <row r="341" spans="1:29" ht="17">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7">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7">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7">
      <c r="A344" s="2714"/>
      <c r="B344" s="371">
        <v>106</v>
      </c>
      <c r="C344" s="371" t="s">
        <v>2791</v>
      </c>
      <c r="D344" s="2716">
        <f t="shared" si="26"/>
        <v>1</v>
      </c>
      <c r="E344" s="2721">
        <v>0</v>
      </c>
      <c r="F344" s="293"/>
      <c r="G344" s="2625" t="s">
        <v>6356</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6575</v>
      </c>
    </row>
    <row r="345" spans="1:29" ht="17">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7">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7.5" thickTop="1">
      <c r="A349" s="2714"/>
      <c r="B349" s="371"/>
      <c r="C349" s="371" t="s">
        <v>2565</v>
      </c>
      <c r="D349" s="2716"/>
      <c r="F349" s="293"/>
      <c r="G349" s="1549" t="s">
        <v>5368</v>
      </c>
      <c r="H349" s="1550" t="str">
        <f>G317</f>
        <v>(1)应收账款按账龄披露</v>
      </c>
      <c r="I349" s="1551"/>
      <c r="J349" s="1552"/>
      <c r="K349" s="1551"/>
      <c r="L349" s="1552"/>
      <c r="M349" s="1553" t="s">
        <v>5369</v>
      </c>
      <c r="N349" s="426"/>
      <c r="O349" s="427"/>
      <c r="P349" s="425"/>
      <c r="Q349" s="442"/>
      <c r="R349" s="442"/>
      <c r="S349" s="364"/>
      <c r="Z349" s="609" t="s">
        <v>273</v>
      </c>
      <c r="AA349" s="609" t="s">
        <v>2935</v>
      </c>
    </row>
    <row r="350" spans="1:29" ht="17">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7">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7">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7">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9">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145" t="s">
        <v>5998</v>
      </c>
      <c r="H359" s="3176" t="str">
        <f>$V$2</f>
        <v>2019年12月31日</v>
      </c>
      <c r="I359" s="3149"/>
      <c r="J359" s="3149"/>
      <c r="K359" s="3177"/>
      <c r="L359" s="355" t="s">
        <v>5271</v>
      </c>
      <c r="M359" s="433"/>
      <c r="N359" s="428"/>
      <c r="O359" s="428"/>
      <c r="P359" s="433"/>
      <c r="Q359" s="442"/>
      <c r="R359" s="443"/>
      <c r="S359" s="364"/>
      <c r="Z359" s="609" t="s">
        <v>273</v>
      </c>
      <c r="AA359" s="609" t="s">
        <v>2935</v>
      </c>
    </row>
    <row r="360" spans="1:27" ht="17">
      <c r="A360" s="2714"/>
      <c r="B360" s="371"/>
      <c r="C360" s="371"/>
      <c r="D360" s="2716"/>
      <c r="E360" s="586" t="s">
        <v>2749</v>
      </c>
      <c r="F360" s="414"/>
      <c r="G360" s="3146"/>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7">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7">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7">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7">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7">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7">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7">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7">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7.5" thickTop="1">
      <c r="A371" s="2714"/>
      <c r="B371" s="371"/>
      <c r="C371" s="371" t="s">
        <v>2565</v>
      </c>
      <c r="D371" s="2716"/>
      <c r="F371" s="293"/>
      <c r="G371" s="1549" t="s">
        <v>5368</v>
      </c>
      <c r="H371" s="1550" t="str">
        <f>G334</f>
        <v>(2.1)应收账款按坏账计提方法分类披露（按简化模型计提）</v>
      </c>
      <c r="I371" s="1552"/>
      <c r="J371" s="1551"/>
      <c r="K371" s="1551"/>
      <c r="L371" s="1553" t="s">
        <v>5369</v>
      </c>
      <c r="M371" s="425"/>
      <c r="N371" s="426"/>
      <c r="O371" s="427"/>
      <c r="P371" s="425"/>
      <c r="Q371" s="442"/>
      <c r="R371" s="442"/>
      <c r="S371" s="364"/>
      <c r="Z371" s="609" t="s">
        <v>273</v>
      </c>
      <c r="AA371" s="609" t="s">
        <v>2935</v>
      </c>
    </row>
    <row r="372" spans="1:27" ht="17">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7">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7">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7">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9">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5401</v>
      </c>
      <c r="I379" s="371" t="s">
        <v>5402</v>
      </c>
      <c r="J379" s="371" t="s">
        <v>5403</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5404</v>
      </c>
      <c r="I380" s="371" t="s">
        <v>5405</v>
      </c>
      <c r="J380" s="371" t="s">
        <v>5406</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145" t="s">
        <v>5137</v>
      </c>
      <c r="H381" s="3176" t="str">
        <f>$V$2</f>
        <v>2019年12月31日</v>
      </c>
      <c r="I381" s="3149"/>
      <c r="J381" s="3177"/>
      <c r="K381" s="355" t="s">
        <v>5271</v>
      </c>
      <c r="L381" s="428"/>
      <c r="M381" s="433"/>
      <c r="N381" s="428"/>
      <c r="O381" s="428"/>
      <c r="P381" s="433"/>
      <c r="Q381" s="442"/>
      <c r="R381" s="443"/>
      <c r="S381" s="364"/>
      <c r="Z381" s="609" t="s">
        <v>273</v>
      </c>
      <c r="AA381" s="609" t="s">
        <v>2935</v>
      </c>
    </row>
    <row r="382" spans="1:27" ht="17">
      <c r="A382" s="2714"/>
      <c r="B382" s="371"/>
      <c r="C382" s="371"/>
      <c r="D382" s="2716"/>
      <c r="E382" s="586" t="s">
        <v>2749</v>
      </c>
      <c r="F382" s="414"/>
      <c r="G382" s="3146"/>
      <c r="H382" s="2237" t="s">
        <v>2861</v>
      </c>
      <c r="I382" s="2237" t="s">
        <v>2862</v>
      </c>
      <c r="J382" s="2240" t="s">
        <v>2889</v>
      </c>
      <c r="K382" s="434"/>
      <c r="L382" s="434"/>
      <c r="M382" s="435"/>
      <c r="N382" s="434"/>
      <c r="O382" s="434"/>
      <c r="P382" s="435"/>
      <c r="Q382" s="442"/>
      <c r="R382" s="443"/>
      <c r="S382" s="364"/>
      <c r="Z382" s="609" t="s">
        <v>273</v>
      </c>
      <c r="AA382" s="609" t="s">
        <v>2935</v>
      </c>
    </row>
    <row r="383" spans="1:27" ht="17">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7">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7">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7">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7">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7">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7">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7">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7.5" thickTop="1">
      <c r="A393" s="2714"/>
      <c r="B393" s="371"/>
      <c r="C393" s="371" t="s">
        <v>2565</v>
      </c>
      <c r="D393" s="2716"/>
      <c r="F393" s="293"/>
      <c r="G393" s="1549" t="s">
        <v>5368</v>
      </c>
      <c r="H393" s="1550" t="str">
        <f>G334</f>
        <v>(2.1)应收账款按坏账计提方法分类披露（按简化模型计提）</v>
      </c>
      <c r="I393" s="1552"/>
      <c r="J393" s="1551"/>
      <c r="K393" s="1553" t="s">
        <v>5369</v>
      </c>
      <c r="L393" s="427"/>
      <c r="M393" s="425"/>
      <c r="N393" s="426"/>
      <c r="O393" s="427"/>
      <c r="P393" s="425"/>
      <c r="Q393" s="442"/>
      <c r="R393" s="442"/>
      <c r="S393" s="364"/>
      <c r="Z393" s="609" t="s">
        <v>273</v>
      </c>
      <c r="AA393" s="609" t="s">
        <v>2935</v>
      </c>
    </row>
    <row r="394" spans="1:27" ht="17">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7">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7">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7">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9">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6179</v>
      </c>
      <c r="I401" s="371" t="s">
        <v>6180</v>
      </c>
      <c r="J401" s="371" t="s">
        <v>6181</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6182</v>
      </c>
      <c r="I402" s="371" t="s">
        <v>6183</v>
      </c>
      <c r="J402" s="371" t="s">
        <v>6184</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13" t="s">
        <v>5963</v>
      </c>
      <c r="H403" s="3187" t="str">
        <f>$V$2</f>
        <v>2019年12月31日</v>
      </c>
      <c r="I403" s="3178"/>
      <c r="J403" s="3188"/>
      <c r="K403" s="355" t="s">
        <v>5950</v>
      </c>
      <c r="L403" s="428"/>
      <c r="M403" s="433"/>
      <c r="N403" s="428"/>
      <c r="O403" s="428"/>
      <c r="P403" s="433"/>
      <c r="Q403" s="442"/>
      <c r="R403" s="443"/>
      <c r="S403" s="364"/>
      <c r="Z403" s="609" t="s">
        <v>273</v>
      </c>
      <c r="AA403" s="609" t="s">
        <v>2935</v>
      </c>
    </row>
    <row r="404" spans="1:27" ht="17">
      <c r="A404" s="2714"/>
      <c r="B404" s="371"/>
      <c r="C404" s="371"/>
      <c r="D404" s="2716"/>
      <c r="E404" s="2716" t="s">
        <v>2749</v>
      </c>
      <c r="F404" s="293"/>
      <c r="G404" s="3214"/>
      <c r="H404" s="2207" t="s">
        <v>2861</v>
      </c>
      <c r="I404" s="2207" t="s">
        <v>2862</v>
      </c>
      <c r="J404" s="2208" t="s">
        <v>2889</v>
      </c>
      <c r="K404" s="355" t="s">
        <v>6177</v>
      </c>
      <c r="L404" s="434"/>
      <c r="M404" s="435"/>
      <c r="N404" s="434"/>
      <c r="O404" s="434"/>
      <c r="P404" s="435"/>
      <c r="Q404" s="442"/>
      <c r="R404" s="443"/>
      <c r="S404" s="364"/>
      <c r="Z404" s="609" t="s">
        <v>273</v>
      </c>
      <c r="AA404" s="609" t="s">
        <v>2935</v>
      </c>
    </row>
    <row r="405" spans="1:27" ht="17">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7">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7">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7">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7">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7">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7">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7">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7">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9">
      <c r="A415" s="2714">
        <v>112202</v>
      </c>
      <c r="B415" s="371">
        <v>2.2400000000000002</v>
      </c>
      <c r="C415" s="371"/>
      <c r="D415" s="2716" t="str">
        <f>VLOOKUP($A415,Sheet_NoteList,2,0)</f>
        <v>期末按组合3计提坏账准备的应收账款（简化模型）</v>
      </c>
      <c r="E415" s="2716" t="s">
        <v>6533</v>
      </c>
      <c r="F415" s="293"/>
      <c r="G415" s="372" t="str">
        <f>"("&amp;B415&amp;")"&amp;D415</f>
        <v>(2.24)期末按组合3计提坏账准备的应收账款（简化模型）</v>
      </c>
      <c r="H415" s="2315">
        <f>$A415</f>
        <v>112202</v>
      </c>
      <c r="I415" s="343" t="s">
        <v>5548</v>
      </c>
      <c r="J415" s="301" t="s">
        <v>5549</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5902</v>
      </c>
      <c r="H416" s="371" t="s">
        <v>5903</v>
      </c>
      <c r="I416" s="371" t="s">
        <v>5904</v>
      </c>
      <c r="J416" s="371" t="s">
        <v>5905</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5561</v>
      </c>
      <c r="I417" s="371" t="s">
        <v>5551</v>
      </c>
      <c r="J417" s="371" t="s">
        <v>5552</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13" t="s">
        <v>5949</v>
      </c>
      <c r="H418" s="3187" t="str">
        <f>$V$2</f>
        <v>2019年12月31日</v>
      </c>
      <c r="I418" s="3178"/>
      <c r="J418" s="3188"/>
      <c r="K418" s="355" t="s">
        <v>5950</v>
      </c>
      <c r="L418" s="2211"/>
      <c r="M418" s="2212"/>
      <c r="N418" s="2210"/>
      <c r="O418" s="2211"/>
      <c r="P418" s="2212"/>
      <c r="Q418" s="442"/>
      <c r="R418" s="442"/>
      <c r="S418" s="364"/>
      <c r="Z418" s="609" t="s">
        <v>273</v>
      </c>
      <c r="AA418" s="609" t="s">
        <v>2935</v>
      </c>
    </row>
    <row r="419" spans="1:27" ht="17">
      <c r="A419" s="2714"/>
      <c r="B419" s="371"/>
      <c r="C419" s="371"/>
      <c r="D419" s="2716"/>
      <c r="E419" s="2716" t="s">
        <v>2749</v>
      </c>
      <c r="F419" s="293"/>
      <c r="G419" s="3214"/>
      <c r="H419" s="2207" t="s">
        <v>2861</v>
      </c>
      <c r="I419" s="2207" t="s">
        <v>2862</v>
      </c>
      <c r="J419" s="2208" t="s">
        <v>2889</v>
      </c>
      <c r="K419" s="355" t="s">
        <v>6177</v>
      </c>
      <c r="L419" s="2211"/>
      <c r="M419" s="2212"/>
      <c r="N419" s="2210"/>
      <c r="O419" s="2211"/>
      <c r="P419" s="2212"/>
      <c r="Q419" s="442"/>
      <c r="R419" s="442"/>
      <c r="S419" s="364"/>
      <c r="Z419" s="609" t="s">
        <v>273</v>
      </c>
      <c r="AA419" s="609" t="s">
        <v>2935</v>
      </c>
    </row>
    <row r="420" spans="1:27" ht="17">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7">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7">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7">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7">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7">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7">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7">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7">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9">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5391</v>
      </c>
      <c r="I431" s="547" t="s">
        <v>5392</v>
      </c>
      <c r="J431" s="371" t="s">
        <v>5393</v>
      </c>
      <c r="K431" s="547" t="s">
        <v>5394</v>
      </c>
      <c r="L431" s="371" t="s">
        <v>5395</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5396</v>
      </c>
      <c r="I432" s="371" t="s">
        <v>5397</v>
      </c>
      <c r="J432" s="371" t="s">
        <v>5398</v>
      </c>
      <c r="K432" s="547" t="s">
        <v>5399</v>
      </c>
      <c r="L432" s="547" t="s">
        <v>5400</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145" t="s">
        <v>5135</v>
      </c>
      <c r="H433" s="3176" t="str">
        <f>$V$3</f>
        <v>2018年12月31日</v>
      </c>
      <c r="I433" s="3176"/>
      <c r="J433" s="3176"/>
      <c r="K433" s="3176"/>
      <c r="L433" s="3153"/>
      <c r="M433" s="355" t="s">
        <v>5271</v>
      </c>
      <c r="N433" s="428"/>
      <c r="O433" s="428"/>
      <c r="P433" s="433"/>
      <c r="Q433" s="442"/>
      <c r="R433" s="443"/>
      <c r="S433" s="364"/>
      <c r="Z433" s="609" t="s">
        <v>273</v>
      </c>
      <c r="AA433" s="609" t="s">
        <v>2935</v>
      </c>
    </row>
    <row r="434" spans="1:29" ht="17">
      <c r="A434" s="2714"/>
      <c r="B434" s="371"/>
      <c r="C434" s="371"/>
      <c r="D434" s="2716"/>
      <c r="E434" s="586" t="s">
        <v>2749</v>
      </c>
      <c r="F434" s="414"/>
      <c r="G434" s="3146"/>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6">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6575</v>
      </c>
    </row>
    <row r="436" spans="1:29" ht="26">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6">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7">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7.5" thickTop="1">
      <c r="A441" s="2714"/>
      <c r="B441" s="371"/>
      <c r="C441" s="371" t="s">
        <v>2565</v>
      </c>
      <c r="D441" s="2716"/>
      <c r="F441" s="293"/>
      <c r="G441" s="1549" t="s">
        <v>5368</v>
      </c>
      <c r="H441" s="1550" t="str">
        <f>G317</f>
        <v>(1)应收账款按账龄披露</v>
      </c>
      <c r="I441" s="1551"/>
      <c r="J441" s="1552"/>
      <c r="K441" s="1551"/>
      <c r="L441" s="1552"/>
      <c r="M441" s="1553" t="s">
        <v>5369</v>
      </c>
      <c r="N441" s="426"/>
      <c r="O441" s="427"/>
      <c r="P441" s="425"/>
      <c r="Q441" s="442"/>
      <c r="R441" s="442"/>
      <c r="S441" s="364"/>
      <c r="Z441" s="609" t="s">
        <v>273</v>
      </c>
      <c r="AA441" s="609" t="s">
        <v>2935</v>
      </c>
    </row>
    <row r="442" spans="1:29" ht="17">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7">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7">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7">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9">
      <c r="A448" s="2714" t="s">
        <v>5109</v>
      </c>
      <c r="B448" s="371">
        <v>3.1</v>
      </c>
      <c r="C448" s="371"/>
      <c r="D448" s="2716" t="str">
        <f>VLOOKUP($A448,Sheet_NoteList,2,0)</f>
        <v>上期末单项金额重大并单项计提坏账准备的应收账款（已发生损失模型）</v>
      </c>
      <c r="E448" s="2716" t="s">
        <v>6535</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5464</v>
      </c>
      <c r="H449" s="371" t="s">
        <v>5553</v>
      </c>
      <c r="I449" s="371" t="s">
        <v>5554</v>
      </c>
      <c r="J449" s="371" t="s">
        <v>5555</v>
      </c>
      <c r="K449" s="371" t="s">
        <v>5556</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5557</v>
      </c>
      <c r="I450" s="371" t="s">
        <v>5558</v>
      </c>
      <c r="J450" s="371" t="s">
        <v>5559</v>
      </c>
      <c r="K450" s="371" t="s">
        <v>5560</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145" t="s">
        <v>3000</v>
      </c>
      <c r="H451" s="3176" t="str">
        <f>$V$3</f>
        <v>2018年12月31日</v>
      </c>
      <c r="I451" s="3149"/>
      <c r="J451" s="3149"/>
      <c r="K451" s="3177"/>
      <c r="L451" s="355" t="s">
        <v>5271</v>
      </c>
      <c r="M451" s="433"/>
      <c r="N451" s="428"/>
      <c r="O451" s="428"/>
      <c r="P451" s="433"/>
      <c r="Q451" s="442"/>
      <c r="R451" s="443"/>
      <c r="S451" s="364"/>
      <c r="Z451" s="609" t="s">
        <v>273</v>
      </c>
      <c r="AA451" s="609" t="s">
        <v>2935</v>
      </c>
    </row>
    <row r="452" spans="1:27" ht="17">
      <c r="A452" s="2714"/>
      <c r="B452" s="371"/>
      <c r="C452" s="371"/>
      <c r="D452" s="2716"/>
      <c r="E452" s="586" t="s">
        <v>2749</v>
      </c>
      <c r="F452" s="414"/>
      <c r="G452" s="3146"/>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7">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7">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7">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7">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7">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7">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7.5" thickTop="1">
      <c r="A461" s="2714"/>
      <c r="B461" s="371"/>
      <c r="C461" s="371" t="s">
        <v>2565</v>
      </c>
      <c r="D461" s="2716"/>
      <c r="F461" s="293"/>
      <c r="G461" s="1549" t="s">
        <v>5368</v>
      </c>
      <c r="H461" s="1550" t="str">
        <f>G430</f>
        <v>(2.2)应收账款按坏账计提方法分类披露（按已发生损失模型计提）</v>
      </c>
      <c r="I461" s="1552"/>
      <c r="J461" s="1551"/>
      <c r="K461" s="1551"/>
      <c r="L461" s="1553" t="s">
        <v>5369</v>
      </c>
      <c r="M461" s="425"/>
      <c r="N461" s="426"/>
      <c r="O461" s="427"/>
      <c r="P461" s="425"/>
      <c r="Q461" s="442"/>
      <c r="R461" s="442"/>
      <c r="S461" s="364"/>
      <c r="Z461" s="609" t="s">
        <v>273</v>
      </c>
      <c r="AA461" s="609" t="s">
        <v>2935</v>
      </c>
    </row>
    <row r="462" spans="1:27" ht="26">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7">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7">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7">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9">
      <c r="A468" s="2714" t="s">
        <v>5110</v>
      </c>
      <c r="B468" s="371">
        <v>3.2</v>
      </c>
      <c r="C468" s="371"/>
      <c r="D468" s="2716" t="str">
        <f>VLOOKUP($A468,Sheet_NoteList,2,0)</f>
        <v>上期末组合中按账龄分析法计提坏账准备的应收账款（已发生损失模型）</v>
      </c>
      <c r="E468" s="2716" t="s">
        <v>6535</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5467</v>
      </c>
      <c r="H469" s="371" t="s">
        <v>6319</v>
      </c>
      <c r="I469" s="371" t="s">
        <v>6320</v>
      </c>
      <c r="J469" s="371" t="s">
        <v>6321</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5465</v>
      </c>
      <c r="I470" s="371" t="s">
        <v>5466</v>
      </c>
      <c r="J470" s="371" t="s">
        <v>5468</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145" t="s">
        <v>5999</v>
      </c>
      <c r="H471" s="3176" t="str">
        <f>$V$3</f>
        <v>2018年12月31日</v>
      </c>
      <c r="I471" s="3149"/>
      <c r="J471" s="3177"/>
      <c r="K471" s="355" t="s">
        <v>5271</v>
      </c>
      <c r="L471" s="428"/>
      <c r="M471" s="433"/>
      <c r="N471" s="428"/>
      <c r="O471" s="428"/>
      <c r="P471" s="433"/>
      <c r="Q471" s="442"/>
      <c r="R471" s="443"/>
      <c r="S471" s="364"/>
      <c r="Z471" s="609" t="s">
        <v>273</v>
      </c>
      <c r="AA471" s="609" t="s">
        <v>2935</v>
      </c>
    </row>
    <row r="472" spans="1:27" ht="17">
      <c r="A472" s="2714"/>
      <c r="B472" s="371"/>
      <c r="C472" s="371"/>
      <c r="D472" s="2716"/>
      <c r="E472" s="586" t="s">
        <v>2749</v>
      </c>
      <c r="F472" s="414"/>
      <c r="G472" s="3146"/>
      <c r="H472" s="2237" t="s">
        <v>2861</v>
      </c>
      <c r="I472" s="2237" t="s">
        <v>2862</v>
      </c>
      <c r="J472" s="2240" t="s">
        <v>2889</v>
      </c>
      <c r="K472" s="434"/>
      <c r="L472" s="434"/>
      <c r="M472" s="1511"/>
      <c r="N472" s="434"/>
      <c r="O472" s="434"/>
      <c r="P472" s="1511"/>
      <c r="Q472" s="442"/>
      <c r="R472" s="443"/>
      <c r="S472" s="364"/>
      <c r="Z472" s="609" t="s">
        <v>273</v>
      </c>
      <c r="AA472" s="609" t="s">
        <v>2935</v>
      </c>
    </row>
    <row r="473" spans="1:27" ht="17">
      <c r="A473" s="2714"/>
      <c r="B473" s="371">
        <v>101</v>
      </c>
      <c r="C473" s="371"/>
      <c r="D473" s="2716">
        <f t="shared" ref="D473:D483" si="34">IF(OR(G473="*",G473="",G473=0),0,COUNTIF($G$473:$G$483,G473))</f>
        <v>1</v>
      </c>
      <c r="E473" s="2721" t="s">
        <v>6536</v>
      </c>
      <c r="F473" s="294"/>
      <c r="G473" s="1474" t="s">
        <v>2938</v>
      </c>
      <c r="H473" s="1577"/>
      <c r="I473" s="422"/>
      <c r="J473" s="388"/>
      <c r="K473" s="439"/>
      <c r="L473" s="437"/>
      <c r="M473" s="438"/>
      <c r="N473" s="439"/>
      <c r="O473" s="437"/>
      <c r="P473" s="438"/>
      <c r="Q473" s="442"/>
      <c r="R473" s="443"/>
      <c r="S473" s="364"/>
      <c r="Z473" s="609" t="s">
        <v>273</v>
      </c>
      <c r="AA473" s="609" t="s">
        <v>2935</v>
      </c>
    </row>
    <row r="474" spans="1:27" ht="17">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7">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7">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7">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7">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7">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7">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7">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7">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7">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7" hidden="1">
      <c r="A485" s="2714" t="s">
        <v>386</v>
      </c>
      <c r="B485" s="371">
        <v>1</v>
      </c>
      <c r="C485" s="371"/>
      <c r="D485" s="2716" t="str">
        <f>VLOOKUP($A485,Sheet_NoteList,2,0)</f>
        <v>应收账款按种类列示</v>
      </c>
      <c r="E485" s="2716" t="s">
        <v>6615</v>
      </c>
      <c r="F485" s="294"/>
      <c r="G485" s="307" t="str">
        <f>"("&amp;B485&amp;")"&amp;D485</f>
        <v>(1)应收账款按种类列示</v>
      </c>
      <c r="H485" s="1517" t="str">
        <f>$A485</f>
        <v>1122a</v>
      </c>
      <c r="I485" s="343" t="s">
        <v>6618</v>
      </c>
      <c r="J485" s="301" t="s">
        <v>6616</v>
      </c>
      <c r="K485" s="344">
        <f>L498</f>
        <v>0</v>
      </c>
      <c r="L485" s="345" t="str">
        <f>IF($I485="适用",IF(ROUND($K$316-K485,2)=0,"F/S",ROUND($K$316-K485,2)),"#N/A")</f>
        <v>#N/A</v>
      </c>
      <c r="M485" s="301" t="s">
        <v>6617</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7" hidden="1">
      <c r="A488" s="2714"/>
      <c r="B488" s="371"/>
      <c r="C488" s="371"/>
      <c r="D488" s="371"/>
      <c r="E488" s="2716" t="s">
        <v>2749</v>
      </c>
      <c r="F488" s="294"/>
      <c r="G488" s="3185" t="s">
        <v>2973</v>
      </c>
      <c r="H488" s="3181" t="str">
        <f>$V$2</f>
        <v>2019年12月31日</v>
      </c>
      <c r="I488" s="3189"/>
      <c r="J488" s="3189"/>
      <c r="K488" s="3189"/>
      <c r="L488" s="3190"/>
      <c r="M488" s="424" t="s">
        <v>5991</v>
      </c>
      <c r="N488" s="291"/>
      <c r="O488" s="291"/>
      <c r="P488" s="291"/>
      <c r="S488" s="364"/>
      <c r="Z488" s="609" t="s">
        <v>273</v>
      </c>
      <c r="AA488" s="609" t="s">
        <v>2935</v>
      </c>
      <c r="AE488" s="369" t="s">
        <v>2761</v>
      </c>
    </row>
    <row r="489" spans="1:31" ht="26.5" hidden="1">
      <c r="A489" s="2714"/>
      <c r="B489" s="371"/>
      <c r="C489" s="371"/>
      <c r="D489" s="371"/>
      <c r="E489" s="2716" t="s">
        <v>2749</v>
      </c>
      <c r="F489" s="294"/>
      <c r="G489" s="3186"/>
      <c r="H489" s="448" t="s">
        <v>2861</v>
      </c>
      <c r="I489" s="2573" t="s">
        <v>6126</v>
      </c>
      <c r="J489" s="448" t="s">
        <v>2974</v>
      </c>
      <c r="K489" s="462" t="s">
        <v>2975</v>
      </c>
      <c r="L489" s="463" t="s">
        <v>2994</v>
      </c>
      <c r="M489" s="291"/>
      <c r="N489" s="291"/>
      <c r="O489" s="291"/>
      <c r="P489" s="291"/>
      <c r="S489" s="364"/>
      <c r="Z489" s="609" t="s">
        <v>273</v>
      </c>
      <c r="AA489" s="609" t="s">
        <v>2935</v>
      </c>
      <c r="AE489" s="369" t="s">
        <v>2761</v>
      </c>
    </row>
    <row r="490" spans="1:31" ht="26"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6575</v>
      </c>
      <c r="AE490" s="369" t="s">
        <v>2761</v>
      </c>
    </row>
    <row r="491" spans="1:31" ht="26"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7"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6575</v>
      </c>
      <c r="AE492" s="369" t="s">
        <v>2761</v>
      </c>
    </row>
    <row r="493" spans="1:31" ht="17"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7"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7"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6"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7"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7"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6" hidden="1">
      <c r="A500" s="2714" t="s">
        <v>392</v>
      </c>
      <c r="B500" s="371">
        <v>1</v>
      </c>
      <c r="C500" s="371"/>
      <c r="D500" s="2716" t="str">
        <f>VLOOKUP($A500,Sheet_NoteList,2,0)</f>
        <v>应收账款按种类列示（续）</v>
      </c>
      <c r="E500" s="2716" t="s">
        <v>6610</v>
      </c>
      <c r="F500" s="294"/>
      <c r="G500" s="372" t="str">
        <f>"("&amp;B500&amp;")"&amp;D500</f>
        <v>(1)应收账款按种类列示（续）</v>
      </c>
      <c r="H500" s="1517" t="str">
        <f>$A500</f>
        <v>1122b</v>
      </c>
      <c r="I500" s="343" t="s">
        <v>6618</v>
      </c>
      <c r="J500" s="301" t="s">
        <v>6617</v>
      </c>
      <c r="K500" s="423"/>
      <c r="L500" s="315"/>
      <c r="M500" s="301" t="s">
        <v>6620</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7" hidden="1">
      <c r="A503" s="2714"/>
      <c r="B503" s="371"/>
      <c r="C503" s="371"/>
      <c r="D503" s="371"/>
      <c r="E503" s="2716" t="s">
        <v>2749</v>
      </c>
      <c r="F503" s="294"/>
      <c r="G503" s="3215" t="s">
        <v>2973</v>
      </c>
      <c r="H503" s="3181" t="str">
        <f>$V$3</f>
        <v>2018年12月31日</v>
      </c>
      <c r="I503" s="3189"/>
      <c r="J503" s="3189"/>
      <c r="K503" s="3189"/>
      <c r="L503" s="3190"/>
      <c r="M503" s="424" t="s">
        <v>5991</v>
      </c>
      <c r="N503" s="291"/>
      <c r="O503" s="291"/>
      <c r="P503" s="291"/>
      <c r="S503" s="364"/>
      <c r="Z503" s="609" t="s">
        <v>273</v>
      </c>
      <c r="AA503" s="609" t="s">
        <v>2935</v>
      </c>
      <c r="AE503" s="369" t="s">
        <v>2761</v>
      </c>
    </row>
    <row r="504" spans="1:31" ht="26.5" hidden="1">
      <c r="A504" s="2714"/>
      <c r="B504" s="371"/>
      <c r="C504" s="371"/>
      <c r="D504" s="371"/>
      <c r="E504" s="2716" t="s">
        <v>2749</v>
      </c>
      <c r="F504" s="294"/>
      <c r="G504" s="3186"/>
      <c r="H504" s="451" t="s">
        <v>2861</v>
      </c>
      <c r="I504" s="467" t="s">
        <v>6127</v>
      </c>
      <c r="J504" s="451" t="s">
        <v>2974</v>
      </c>
      <c r="K504" s="467" t="s">
        <v>2975</v>
      </c>
      <c r="L504" s="468" t="s">
        <v>2994</v>
      </c>
      <c r="M504" s="291"/>
      <c r="N504" s="291"/>
      <c r="O504" s="291"/>
      <c r="P504" s="291"/>
      <c r="S504" s="364"/>
      <c r="Z504" s="609" t="s">
        <v>273</v>
      </c>
      <c r="AA504" s="609" t="s">
        <v>2935</v>
      </c>
      <c r="AE504" s="369" t="s">
        <v>2761</v>
      </c>
    </row>
    <row r="505" spans="1:31" ht="26"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6"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7"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7"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7"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7"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6"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7"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7"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6" hidden="1">
      <c r="A515" s="2714" t="s">
        <v>322</v>
      </c>
      <c r="B515" s="371">
        <v>2</v>
      </c>
      <c r="C515" s="371"/>
      <c r="D515" s="2716" t="str">
        <f>VLOOKUP($A515,Sheet_NoteList,2,0)</f>
        <v>期末单项金额重大并单项计提坏账准备的应收账款</v>
      </c>
      <c r="E515" s="2716" t="s">
        <v>6610</v>
      </c>
      <c r="F515" s="294"/>
      <c r="G515" s="372" t="str">
        <f>"("&amp;B515&amp;")"&amp;D515</f>
        <v>(2)期末单项金额重大并单项计提坏账准备的应收账款</v>
      </c>
      <c r="H515" s="1517" t="str">
        <f>$A515</f>
        <v>1122g</v>
      </c>
      <c r="I515" s="343" t="s">
        <v>6618</v>
      </c>
      <c r="J515" s="301" t="s">
        <v>6616</v>
      </c>
      <c r="K515" s="344">
        <f>H526</f>
        <v>0</v>
      </c>
      <c r="L515" s="345"/>
      <c r="M515" s="301" t="s">
        <v>6617</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6185</v>
      </c>
      <c r="I517" s="371" t="s">
        <v>6186</v>
      </c>
      <c r="J517" s="371" t="s">
        <v>6187</v>
      </c>
      <c r="K517" s="371" t="s">
        <v>6188</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185" t="s">
        <v>3000</v>
      </c>
      <c r="H518" s="3191" t="str">
        <f>$V$2</f>
        <v>2019年12月31日</v>
      </c>
      <c r="I518" s="3191"/>
      <c r="J518" s="3191"/>
      <c r="K518" s="3192"/>
      <c r="L518" s="424" t="s">
        <v>5991</v>
      </c>
      <c r="M518" s="472"/>
      <c r="N518" s="472"/>
      <c r="O518" s="472"/>
      <c r="P518" s="442"/>
      <c r="Q518" s="442"/>
      <c r="R518" s="443"/>
      <c r="S518" s="364"/>
      <c r="Z518" s="609" t="s">
        <v>273</v>
      </c>
      <c r="AA518" s="609" t="s">
        <v>2935</v>
      </c>
      <c r="AE518" s="369" t="s">
        <v>2761</v>
      </c>
    </row>
    <row r="519" spans="1:31" ht="17" hidden="1">
      <c r="A519" s="2714"/>
      <c r="B519" s="371"/>
      <c r="C519" s="371"/>
      <c r="D519" s="371"/>
      <c r="E519" s="2716" t="s">
        <v>2749</v>
      </c>
      <c r="F519" s="294"/>
      <c r="G519" s="3216"/>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7"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7"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7"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7"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7"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7"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7"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7.5" hidden="1" thickTop="1">
      <c r="A528" s="2714"/>
      <c r="B528" s="371"/>
      <c r="C528" s="371" t="s">
        <v>2565</v>
      </c>
      <c r="D528" s="371"/>
      <c r="F528" s="294"/>
      <c r="G528" s="1561" t="s">
        <v>5368</v>
      </c>
      <c r="H528" s="1550" t="str">
        <f>G485</f>
        <v>(1)应收账款按种类列示</v>
      </c>
      <c r="I528" s="1552"/>
      <c r="J528" s="1551"/>
      <c r="K528" s="1551"/>
      <c r="L528" s="1553" t="s">
        <v>5369</v>
      </c>
      <c r="M528" s="472"/>
      <c r="N528" s="472"/>
      <c r="O528" s="472"/>
      <c r="P528" s="442"/>
      <c r="Q528" s="442"/>
      <c r="R528" s="442"/>
      <c r="S528" s="364"/>
      <c r="Z528" s="609" t="s">
        <v>273</v>
      </c>
      <c r="AA528" s="609" t="s">
        <v>2935</v>
      </c>
    </row>
    <row r="529" spans="1:31" ht="26"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7"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7"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7"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7"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6" hidden="1">
      <c r="A535" s="2714" t="s">
        <v>328</v>
      </c>
      <c r="B535" s="371">
        <v>3</v>
      </c>
      <c r="C535" s="371"/>
      <c r="D535" s="2716" t="str">
        <f>VLOOKUP($A535,Sheet_NoteList,2,0)</f>
        <v>组合中按账龄分析法计提坏账准备的应收账款</v>
      </c>
      <c r="E535" s="2716" t="s">
        <v>6610</v>
      </c>
      <c r="F535" s="294"/>
      <c r="G535" s="372" t="str">
        <f>"("&amp;B535&amp;")"&amp;D535</f>
        <v>(3)组合中按账龄分析法计提坏账准备的应收账款</v>
      </c>
      <c r="H535" s="1517" t="str">
        <f>$A535</f>
        <v>1122d</v>
      </c>
      <c r="I535" s="343" t="s">
        <v>6618</v>
      </c>
      <c r="J535" s="301" t="s">
        <v>6617</v>
      </c>
      <c r="K535" s="344"/>
      <c r="L535" s="345"/>
      <c r="M535" s="301" t="s">
        <v>6620</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7" hidden="1">
      <c r="A538" s="2714"/>
      <c r="B538" s="371"/>
      <c r="C538" s="371"/>
      <c r="D538" s="371"/>
      <c r="E538" s="2716" t="s">
        <v>2749</v>
      </c>
      <c r="F538" s="294"/>
      <c r="G538" s="3185" t="s">
        <v>3005</v>
      </c>
      <c r="H538" s="3180" t="str">
        <f>$V$2</f>
        <v>2019年12月31日</v>
      </c>
      <c r="I538" s="3181"/>
      <c r="J538" s="3182"/>
      <c r="K538" s="424" t="s">
        <v>5991</v>
      </c>
      <c r="L538" s="477"/>
      <c r="M538" s="1575"/>
      <c r="N538" s="1575"/>
      <c r="O538" s="1575"/>
      <c r="P538" s="1575"/>
      <c r="Q538" s="1575"/>
      <c r="R538" s="443"/>
      <c r="S538" s="364"/>
      <c r="Z538" s="609" t="s">
        <v>273</v>
      </c>
      <c r="AA538" s="609" t="s">
        <v>2935</v>
      </c>
      <c r="AE538" s="369" t="s">
        <v>2761</v>
      </c>
    </row>
    <row r="539" spans="1:31" ht="17" hidden="1">
      <c r="A539" s="2714"/>
      <c r="B539" s="371"/>
      <c r="C539" s="371"/>
      <c r="D539" s="371"/>
      <c r="E539" s="2716" t="s">
        <v>2749</v>
      </c>
      <c r="F539" s="294"/>
      <c r="G539" s="3186"/>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7" hidden="1">
      <c r="A540" s="2714"/>
      <c r="B540" s="371">
        <v>101</v>
      </c>
      <c r="C540" s="371"/>
      <c r="D540" s="2716">
        <f t="shared" ref="D540:D550" si="42">IF(OR(G540="*",G540="",G540=0),0,COUNTIF($G$540:$G$550,G540))</f>
        <v>1</v>
      </c>
      <c r="E540" s="2721" t="s">
        <v>6536</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7"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7"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7"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7"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7"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7"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7"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7"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7"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7"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7.5" hidden="1" thickTop="1">
      <c r="A552" s="2714"/>
      <c r="B552" s="371"/>
      <c r="C552" s="371" t="s">
        <v>2565</v>
      </c>
      <c r="D552" s="371"/>
      <c r="F552" s="294"/>
      <c r="G552" s="1561" t="s">
        <v>5368</v>
      </c>
      <c r="H552" s="1550" t="str">
        <f>G485</f>
        <v>(1)应收账款按种类列示</v>
      </c>
      <c r="I552" s="1552"/>
      <c r="J552" s="1551"/>
      <c r="K552" s="1553" t="s">
        <v>5369</v>
      </c>
      <c r="L552" s="486"/>
      <c r="M552" s="486"/>
      <c r="N552" s="427"/>
      <c r="O552" s="486"/>
      <c r="P552" s="427"/>
      <c r="Q552" s="486"/>
      <c r="R552" s="442"/>
      <c r="S552" s="364"/>
      <c r="Z552" s="609" t="s">
        <v>273</v>
      </c>
      <c r="AA552" s="609" t="s">
        <v>2935</v>
      </c>
    </row>
    <row r="553" spans="1:31" ht="17"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7"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7"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7"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7"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6" hidden="1">
      <c r="A559" s="2714" t="s">
        <v>399</v>
      </c>
      <c r="B559" s="371">
        <v>4</v>
      </c>
      <c r="C559" s="371"/>
      <c r="D559" s="2716" t="str">
        <f>VLOOKUP($A559,Sheet_NoteList,2,0)</f>
        <v>组合中采用余额百分比法计提坏账准备的应收账款</v>
      </c>
      <c r="E559" s="2716" t="s">
        <v>6624</v>
      </c>
      <c r="F559" s="294"/>
      <c r="G559" s="372" t="str">
        <f>"("&amp;B559&amp;")"&amp;D559</f>
        <v>(4)组合中采用余额百分比法计提坏账准备的应收账款</v>
      </c>
      <c r="H559" s="1517" t="str">
        <f>$A559</f>
        <v>1122e</v>
      </c>
      <c r="I559" s="343" t="s">
        <v>6618</v>
      </c>
      <c r="J559" s="301" t="s">
        <v>6616</v>
      </c>
      <c r="K559" s="344">
        <f>H567-I567</f>
        <v>0</v>
      </c>
      <c r="L559" s="345" t="str">
        <f>IF($I559="适用",IF(ROUND(K316-K559,2)&gt;=0,"","#Logical!"),"#N/A")</f>
        <v>#N/A</v>
      </c>
      <c r="M559" s="301" t="s">
        <v>6617</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7" hidden="1">
      <c r="A561" s="2714"/>
      <c r="B561" s="371"/>
      <c r="C561" s="371"/>
      <c r="D561" s="371"/>
      <c r="E561" s="586" t="s">
        <v>2749</v>
      </c>
      <c r="F561" s="363"/>
      <c r="G561" s="2221" t="s">
        <v>3008</v>
      </c>
      <c r="H561" s="2219" t="s">
        <v>2861</v>
      </c>
      <c r="I561" s="2219" t="s">
        <v>2862</v>
      </c>
      <c r="J561" s="2219" t="s">
        <v>3001</v>
      </c>
      <c r="K561" s="2220" t="s">
        <v>2994</v>
      </c>
      <c r="L561" s="424" t="s">
        <v>5991</v>
      </c>
      <c r="M561" s="291"/>
      <c r="N561" s="291"/>
      <c r="O561" s="291"/>
      <c r="Q561" s="497"/>
      <c r="S561" s="364"/>
      <c r="Z561" s="609" t="s">
        <v>273</v>
      </c>
      <c r="AA561" s="609" t="s">
        <v>2935</v>
      </c>
      <c r="AE561" s="369" t="s">
        <v>2761</v>
      </c>
    </row>
    <row r="562" spans="1:31" ht="17"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6177</v>
      </c>
      <c r="M562" s="291"/>
      <c r="N562" s="291"/>
      <c r="O562" s="291"/>
      <c r="Q562" s="497"/>
      <c r="S562" s="364"/>
      <c r="Z562" s="609" t="s">
        <v>273</v>
      </c>
      <c r="AA562" s="609" t="s">
        <v>2935</v>
      </c>
      <c r="AE562" s="369" t="s">
        <v>2761</v>
      </c>
    </row>
    <row r="563" spans="1:31" ht="17"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7"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7"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7"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7"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6" hidden="1">
      <c r="A569" s="2714" t="s">
        <v>405</v>
      </c>
      <c r="B569" s="371">
        <v>5</v>
      </c>
      <c r="C569" s="371"/>
      <c r="D569" s="2716" t="str">
        <f>VLOOKUP($A569,Sheet_NoteList,2,0)</f>
        <v>组合中采用其他方法计提坏账准备的应收账款</v>
      </c>
      <c r="E569" s="2716" t="s">
        <v>6615</v>
      </c>
      <c r="F569" s="294"/>
      <c r="G569" s="372" t="str">
        <f>"("&amp;B569&amp;")"&amp;D569</f>
        <v>(5)组合中采用其他方法计提坏账准备的应收账款</v>
      </c>
      <c r="H569" s="1517" t="str">
        <f>$A569</f>
        <v>1122f</v>
      </c>
      <c r="I569" s="343" t="s">
        <v>6618</v>
      </c>
      <c r="J569" s="301" t="s">
        <v>6616</v>
      </c>
      <c r="K569" s="344">
        <f>H577-I577</f>
        <v>0</v>
      </c>
      <c r="L569" s="345" t="str">
        <f>IF($I569="适用",IF(ROUND(K$316-K569,2)&gt;=0,"","#Logical!"),"#N/A")</f>
        <v>#N/A</v>
      </c>
      <c r="M569" s="301" t="s">
        <v>6617</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7" hidden="1">
      <c r="A571" s="2714"/>
      <c r="B571" s="371"/>
      <c r="C571" s="371"/>
      <c r="D571" s="371"/>
      <c r="E571" s="586" t="s">
        <v>2749</v>
      </c>
      <c r="F571" s="363"/>
      <c r="G571" s="2221" t="s">
        <v>3008</v>
      </c>
      <c r="H571" s="2219" t="s">
        <v>2861</v>
      </c>
      <c r="I571" s="2219" t="s">
        <v>2862</v>
      </c>
      <c r="J571" s="2219" t="s">
        <v>2994</v>
      </c>
      <c r="K571" s="2219" t="s">
        <v>3001</v>
      </c>
      <c r="L571" s="2220" t="s">
        <v>2899</v>
      </c>
      <c r="M571" s="424" t="s">
        <v>5991</v>
      </c>
      <c r="N571" s="291"/>
      <c r="Q571" s="497"/>
      <c r="S571" s="364"/>
      <c r="Z571" s="609" t="s">
        <v>273</v>
      </c>
      <c r="AA571" s="609" t="s">
        <v>2935</v>
      </c>
      <c r="AE571" s="369" t="s">
        <v>2761</v>
      </c>
    </row>
    <row r="572" spans="1:31" ht="17"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6177</v>
      </c>
      <c r="N572" s="291"/>
      <c r="S572" s="364"/>
      <c r="Z572" s="609" t="s">
        <v>273</v>
      </c>
      <c r="AA572" s="609" t="s">
        <v>2935</v>
      </c>
      <c r="AE572" s="369" t="s">
        <v>2761</v>
      </c>
    </row>
    <row r="573" spans="1:31" ht="17"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7"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7"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7"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7"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6">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145" t="s">
        <v>5135</v>
      </c>
      <c r="H582" s="3176" t="str">
        <f>$V$3</f>
        <v>2018年12月31日</v>
      </c>
      <c r="I582" s="3149" t="s">
        <v>5210</v>
      </c>
      <c r="J582" s="3176" t="str">
        <f>$X$3</f>
        <v>2019年1月1日</v>
      </c>
      <c r="K582" s="3179" t="s">
        <v>2919</v>
      </c>
      <c r="L582" s="3179"/>
      <c r="M582" s="3179"/>
      <c r="N582" s="3265" t="str">
        <f>$V$2</f>
        <v>2019年12月31日</v>
      </c>
      <c r="O582" s="355" t="s">
        <v>5271</v>
      </c>
      <c r="P582" s="433"/>
      <c r="Q582" s="442"/>
      <c r="R582" s="443"/>
      <c r="S582" s="364"/>
      <c r="Z582" s="609" t="s">
        <v>273</v>
      </c>
      <c r="AA582" s="609" t="s">
        <v>2935</v>
      </c>
    </row>
    <row r="583" spans="1:31" ht="26">
      <c r="A583" s="2714"/>
      <c r="B583" s="371"/>
      <c r="C583" s="371"/>
      <c r="D583" s="2716"/>
      <c r="E583" s="586" t="s">
        <v>2749</v>
      </c>
      <c r="F583" s="414"/>
      <c r="G583" s="3146"/>
      <c r="H583" s="3150"/>
      <c r="I583" s="3150"/>
      <c r="J583" s="3150"/>
      <c r="K583" s="2239" t="s">
        <v>5211</v>
      </c>
      <c r="L583" s="2239" t="s">
        <v>5212</v>
      </c>
      <c r="M583" s="2237" t="s">
        <v>5213</v>
      </c>
      <c r="N583" s="3158"/>
      <c r="O583" s="434"/>
      <c r="P583" s="435"/>
      <c r="Q583" s="442"/>
      <c r="R583" s="443"/>
      <c r="S583" s="364"/>
      <c r="Z583" s="609" t="s">
        <v>273</v>
      </c>
      <c r="AA583" s="609" t="s">
        <v>2935</v>
      </c>
    </row>
    <row r="584" spans="1:31" ht="17">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7">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7">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7">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7">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7">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7">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7">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7.5" thickTop="1">
      <c r="A594" s="2714"/>
      <c r="B594" s="371"/>
      <c r="C594" s="371" t="s">
        <v>2565</v>
      </c>
      <c r="D594" s="2716"/>
      <c r="F594" s="293"/>
      <c r="G594" s="1549" t="s">
        <v>5368</v>
      </c>
      <c r="H594" s="1550" t="str">
        <f>G317</f>
        <v>(1)应收账款按账龄披露</v>
      </c>
      <c r="I594" s="1551"/>
      <c r="J594" s="1551"/>
      <c r="K594" s="1551"/>
      <c r="L594" s="1551"/>
      <c r="M594" s="1551"/>
      <c r="N594" s="1552"/>
      <c r="O594" s="1553" t="s">
        <v>5369</v>
      </c>
      <c r="P594" s="425"/>
      <c r="Q594" s="442"/>
      <c r="R594" s="442"/>
      <c r="S594" s="364"/>
      <c r="Z594" s="609" t="s">
        <v>273</v>
      </c>
      <c r="AA594" s="609" t="s">
        <v>2935</v>
      </c>
    </row>
    <row r="595" spans="1:27" ht="17">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7">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7">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7">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6">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4"/>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6189</v>
      </c>
      <c r="I602" s="371" t="s">
        <v>6190</v>
      </c>
      <c r="J602" s="433"/>
      <c r="K602" s="433"/>
      <c r="L602" s="472"/>
      <c r="M602" s="472"/>
      <c r="N602" s="472"/>
      <c r="O602" s="472"/>
      <c r="P602" s="442"/>
      <c r="Q602" s="442"/>
      <c r="R602" s="443"/>
      <c r="S602" s="364"/>
      <c r="Z602" s="609" t="s">
        <v>273</v>
      </c>
      <c r="AA602" s="609" t="s">
        <v>2935</v>
      </c>
    </row>
    <row r="603" spans="1:27" ht="26">
      <c r="A603" s="2714"/>
      <c r="B603" s="371"/>
      <c r="C603" s="371"/>
      <c r="D603" s="371"/>
      <c r="E603" s="586" t="s">
        <v>2749</v>
      </c>
      <c r="F603" s="363"/>
      <c r="G603" s="2533" t="s">
        <v>1465</v>
      </c>
      <c r="H603" s="2534" t="s">
        <v>2922</v>
      </c>
      <c r="I603" s="2535" t="s">
        <v>6000</v>
      </c>
      <c r="J603" s="355" t="s">
        <v>5271</v>
      </c>
      <c r="K603" s="479"/>
      <c r="L603" s="472"/>
      <c r="M603" s="472"/>
      <c r="N603" s="472"/>
      <c r="O603" s="472"/>
      <c r="P603" s="442"/>
      <c r="Q603" s="442"/>
      <c r="R603" s="443"/>
      <c r="S603" s="364"/>
      <c r="Z603" s="609" t="s">
        <v>273</v>
      </c>
      <c r="AA603" s="609" t="s">
        <v>2935</v>
      </c>
    </row>
    <row r="604" spans="1:27" ht="17">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7">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7">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7">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7">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7">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6">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7">
      <c r="A613" s="2714"/>
      <c r="B613" s="371"/>
      <c r="C613" s="371"/>
      <c r="D613" s="2716"/>
      <c r="E613" s="586" t="s">
        <v>2749</v>
      </c>
      <c r="F613" s="414"/>
      <c r="G613" s="2712" t="s">
        <v>6417</v>
      </c>
      <c r="H613" s="2535" t="s">
        <v>2925</v>
      </c>
      <c r="I613" s="355" t="s">
        <v>5271</v>
      </c>
      <c r="J613" s="435"/>
      <c r="K613" s="434"/>
      <c r="L613" s="434"/>
      <c r="M613" s="435"/>
      <c r="N613" s="434"/>
      <c r="O613" s="434"/>
      <c r="P613" s="435"/>
      <c r="Q613" s="442"/>
      <c r="R613" s="443"/>
      <c r="S613" s="364"/>
      <c r="Z613" s="609" t="s">
        <v>273</v>
      </c>
      <c r="AA613" s="609" t="s">
        <v>2935</v>
      </c>
    </row>
    <row r="614" spans="1:27" ht="17">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7">
      <c r="A615" s="2714"/>
      <c r="B615" s="371">
        <v>102</v>
      </c>
      <c r="C615" s="371" t="s">
        <v>6537</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7">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6">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4"/>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6">
      <c r="A620" s="2714"/>
      <c r="B620" s="371"/>
      <c r="C620" s="371"/>
      <c r="D620" s="371"/>
      <c r="E620" s="586" t="s">
        <v>2749</v>
      </c>
      <c r="F620" s="363"/>
      <c r="G620" s="2533" t="s">
        <v>1465</v>
      </c>
      <c r="H620" s="2534" t="s">
        <v>3048</v>
      </c>
      <c r="I620" s="2534" t="s">
        <v>2925</v>
      </c>
      <c r="J620" s="2534" t="s">
        <v>2932</v>
      </c>
      <c r="K620" s="2534" t="s">
        <v>2933</v>
      </c>
      <c r="L620" s="2535" t="s">
        <v>2934</v>
      </c>
      <c r="M620" s="355" t="s">
        <v>5271</v>
      </c>
      <c r="N620" s="291"/>
      <c r="O620" s="291"/>
      <c r="S620" s="364"/>
      <c r="Z620" s="609" t="s">
        <v>273</v>
      </c>
      <c r="AA620" s="609" t="s">
        <v>2935</v>
      </c>
    </row>
    <row r="621" spans="1:27" ht="17">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7">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7">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7">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7">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7">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6">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4"/>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9">
      <c r="A631" s="2714"/>
      <c r="B631" s="371"/>
      <c r="C631" s="371"/>
      <c r="D631" s="371"/>
      <c r="E631" s="586" t="s">
        <v>2749</v>
      </c>
      <c r="F631" s="363"/>
      <c r="G631" s="2533" t="s">
        <v>1465</v>
      </c>
      <c r="H631" s="2534" t="s">
        <v>3053</v>
      </c>
      <c r="I631" s="2534" t="s">
        <v>3054</v>
      </c>
      <c r="J631" s="2535" t="s">
        <v>3055</v>
      </c>
      <c r="K631" s="355" t="s">
        <v>5271</v>
      </c>
      <c r="L631" s="291"/>
      <c r="M631" s="291"/>
      <c r="N631" s="291"/>
      <c r="O631" s="291"/>
      <c r="S631" s="364"/>
      <c r="Z631" s="609" t="s">
        <v>273</v>
      </c>
      <c r="AA631" s="609" t="s">
        <v>2935</v>
      </c>
    </row>
    <row r="632" spans="1:27" ht="26">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7">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7">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7">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7">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7">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6">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9">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7">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7">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7">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7">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7">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7">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6001</v>
      </c>
      <c r="L645" s="291"/>
      <c r="M645" s="291"/>
      <c r="N645" s="291"/>
      <c r="O645" s="291"/>
      <c r="S645" s="364"/>
      <c r="Z645" s="609" t="s">
        <v>273</v>
      </c>
      <c r="AA645" s="609" t="s">
        <v>2935</v>
      </c>
    </row>
    <row r="646" spans="1:27" ht="1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7">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6">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4"/>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39">
      <c r="A650" s="2714"/>
      <c r="B650" s="371"/>
      <c r="C650" s="371"/>
      <c r="D650" s="371"/>
      <c r="E650" s="586" t="s">
        <v>2749</v>
      </c>
      <c r="F650" s="363"/>
      <c r="G650" s="2533" t="s">
        <v>47</v>
      </c>
      <c r="H650" s="2534" t="s">
        <v>3063</v>
      </c>
      <c r="I650" s="2534" t="s">
        <v>3064</v>
      </c>
      <c r="J650" s="2535" t="s">
        <v>3065</v>
      </c>
      <c r="K650" s="355" t="s">
        <v>5271</v>
      </c>
      <c r="L650" s="291"/>
      <c r="M650" s="291"/>
      <c r="S650" s="364"/>
      <c r="Z650" s="609" t="s">
        <v>273</v>
      </c>
      <c r="AA650" s="609" t="s">
        <v>2935</v>
      </c>
    </row>
    <row r="651" spans="1:27" ht="17">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7">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7">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7">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7">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7">
      <c r="A657" s="2714"/>
      <c r="B657" s="371"/>
      <c r="C657" s="371" t="s">
        <v>2755</v>
      </c>
      <c r="D657" s="371"/>
      <c r="F657" s="294"/>
      <c r="G657" s="301"/>
      <c r="H657" s="393"/>
      <c r="I657" s="315"/>
      <c r="J657" s="315"/>
      <c r="K657" s="291"/>
      <c r="L657" s="291"/>
      <c r="M657" s="291"/>
      <c r="S657" s="364"/>
      <c r="Z657" s="609" t="s">
        <v>273</v>
      </c>
      <c r="AA657" s="609" t="s">
        <v>2935</v>
      </c>
    </row>
    <row r="658" spans="1:27" ht="26">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4"/>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6191</v>
      </c>
      <c r="I659" s="371" t="s">
        <v>6192</v>
      </c>
      <c r="J659" s="371" t="s">
        <v>3052</v>
      </c>
      <c r="K659" s="472"/>
      <c r="L659" s="472"/>
      <c r="M659" s="472"/>
      <c r="N659" s="442"/>
      <c r="O659" s="442"/>
      <c r="P659" s="442"/>
      <c r="Q659" s="442"/>
      <c r="R659" s="443"/>
      <c r="S659" s="364"/>
      <c r="Z659" s="609" t="s">
        <v>273</v>
      </c>
      <c r="AA659" s="609" t="s">
        <v>2935</v>
      </c>
    </row>
    <row r="660" spans="1:27" ht="26">
      <c r="A660" s="2714"/>
      <c r="B660" s="371"/>
      <c r="C660" s="371"/>
      <c r="D660" s="371"/>
      <c r="E660" s="586" t="s">
        <v>2749</v>
      </c>
      <c r="F660" s="363"/>
      <c r="G660" s="2533" t="s">
        <v>47</v>
      </c>
      <c r="H660" s="2534" t="s">
        <v>3068</v>
      </c>
      <c r="I660" s="2534" t="s">
        <v>3069</v>
      </c>
      <c r="J660" s="2535" t="s">
        <v>3070</v>
      </c>
      <c r="K660" s="355" t="s">
        <v>5271</v>
      </c>
      <c r="L660" s="472"/>
      <c r="M660" s="472"/>
      <c r="N660" s="442"/>
      <c r="O660" s="442"/>
      <c r="P660" s="442"/>
      <c r="Q660" s="442"/>
      <c r="R660" s="443"/>
      <c r="S660" s="364"/>
      <c r="Z660" s="609" t="s">
        <v>273</v>
      </c>
      <c r="AA660" s="609" t="s">
        <v>2935</v>
      </c>
    </row>
    <row r="661" spans="1:27" ht="17">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7">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7">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7">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7">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7">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7">
      <c r="A668" s="2714" t="s">
        <v>419</v>
      </c>
      <c r="B668" s="371">
        <v>8</v>
      </c>
      <c r="C668" s="371"/>
      <c r="D668" s="2716" t="str">
        <f>VLOOKUP($A668,Sheet_NoteList,2,0)</f>
        <v>外币应收账款</v>
      </c>
      <c r="E668" s="2716" t="s">
        <v>6533</v>
      </c>
      <c r="F668" s="294"/>
      <c r="G668" s="372" t="str">
        <f>"("&amp;B668&amp;")"&amp;D668</f>
        <v>(8)外币应收账款</v>
      </c>
      <c r="H668" s="1517" t="str">
        <f>$A668</f>
        <v>1122c</v>
      </c>
      <c r="I668" s="343" t="s">
        <v>5574</v>
      </c>
      <c r="J668" s="301" t="s">
        <v>5573</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6">
      <c r="A670" s="2714"/>
      <c r="B670" s="371"/>
      <c r="C670" s="371"/>
      <c r="D670" s="371"/>
      <c r="E670" s="2716" t="s">
        <v>2749</v>
      </c>
      <c r="F670" s="294"/>
      <c r="G670" s="1621" t="s">
        <v>1371</v>
      </c>
      <c r="H670" s="1619" t="s">
        <v>3076</v>
      </c>
      <c r="I670" s="1619" t="s">
        <v>3077</v>
      </c>
      <c r="J670" s="1620" t="s">
        <v>3078</v>
      </c>
      <c r="K670" s="355" t="s">
        <v>5605</v>
      </c>
      <c r="L670" s="291"/>
      <c r="M670" s="291"/>
      <c r="N670" s="291"/>
      <c r="O670" s="291"/>
      <c r="P670" s="291"/>
      <c r="Q670" s="367"/>
      <c r="R670" s="367"/>
      <c r="S670" s="364"/>
      <c r="Z670" s="609" t="s">
        <v>273</v>
      </c>
      <c r="AA670" s="609" t="s">
        <v>2935</v>
      </c>
    </row>
    <row r="671" spans="1:27" ht="17">
      <c r="A671" s="2714"/>
      <c r="B671" s="371">
        <v>101</v>
      </c>
      <c r="C671" s="371" t="s">
        <v>2791</v>
      </c>
      <c r="D671" s="2716">
        <f t="shared" ref="D671:D676" si="57">IF(OR(G671="*",G671="",G671=0),0,COUNTIF($G$671:$G$676,G671))</f>
        <v>1</v>
      </c>
      <c r="E671" s="2721">
        <v>1</v>
      </c>
      <c r="F671" s="294"/>
      <c r="G671" s="1618" t="s">
        <v>3079</v>
      </c>
      <c r="H671" s="309"/>
      <c r="I671" s="360"/>
      <c r="J671" s="346"/>
      <c r="K671" s="355" t="s">
        <v>5365</v>
      </c>
      <c r="L671" s="1522" t="s">
        <v>5366</v>
      </c>
      <c r="M671" s="291"/>
      <c r="N671" s="291"/>
      <c r="O671" s="291"/>
      <c r="P671" s="291"/>
      <c r="Q671" s="367"/>
      <c r="R671" s="367"/>
      <c r="S671" s="364"/>
      <c r="Z671" s="609" t="s">
        <v>273</v>
      </c>
      <c r="AA671" s="609" t="s">
        <v>2935</v>
      </c>
    </row>
    <row r="672" spans="1:27" ht="17">
      <c r="A672" s="2714"/>
      <c r="B672" s="371">
        <v>102</v>
      </c>
      <c r="C672" s="371" t="s">
        <v>2791</v>
      </c>
      <c r="D672" s="2716">
        <f t="shared" si="57"/>
        <v>1</v>
      </c>
      <c r="E672" s="2721">
        <v>1</v>
      </c>
      <c r="F672" s="294"/>
      <c r="G672" s="1618" t="s">
        <v>3080</v>
      </c>
      <c r="H672" s="309"/>
      <c r="I672" s="360"/>
      <c r="J672" s="346"/>
      <c r="K672" s="355" t="s">
        <v>6177</v>
      </c>
      <c r="L672" s="291"/>
      <c r="M672" s="291"/>
      <c r="N672" s="291"/>
      <c r="O672" s="291"/>
      <c r="P672" s="291"/>
      <c r="Q672" s="367"/>
      <c r="R672" s="367"/>
      <c r="S672" s="364"/>
      <c r="Z672" s="609" t="s">
        <v>273</v>
      </c>
      <c r="AA672" s="609" t="s">
        <v>2935</v>
      </c>
    </row>
    <row r="673" spans="1:27" ht="17">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7">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7">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7">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6">
      <c r="A678" s="2714" t="s">
        <v>425</v>
      </c>
      <c r="B678" s="371">
        <v>9</v>
      </c>
      <c r="C678" s="371"/>
      <c r="D678" s="2716" t="str">
        <f>VLOOKUP($A678,Sheet_NoteList,2,0)</f>
        <v>关联方应收应付款项——应收账款</v>
      </c>
      <c r="E678" s="2716" t="s">
        <v>6533</v>
      </c>
      <c r="F678" s="294"/>
      <c r="G678" s="372" t="str">
        <f>"("&amp;B678&amp;")"&amp;D678</f>
        <v>(9)关联方应收应付款项——应收账款</v>
      </c>
      <c r="H678" s="1517" t="str">
        <f>$A678</f>
        <v>1122l</v>
      </c>
      <c r="I678" s="343" t="s">
        <v>5603</v>
      </c>
      <c r="J678" s="301" t="s">
        <v>5601</v>
      </c>
      <c r="K678" s="2210">
        <f>H686-I686</f>
        <v>0</v>
      </c>
      <c r="L678" s="345"/>
      <c r="M678" s="301" t="s">
        <v>5602</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6">
      <c r="A680" s="2714"/>
      <c r="B680" s="371"/>
      <c r="C680" s="371"/>
      <c r="D680" s="371"/>
      <c r="E680" s="2716" t="s">
        <v>2749</v>
      </c>
      <c r="F680" s="294"/>
      <c r="G680" s="1633" t="s">
        <v>1423</v>
      </c>
      <c r="H680" s="1631" t="s">
        <v>3086</v>
      </c>
      <c r="I680" s="1631" t="s">
        <v>3055</v>
      </c>
      <c r="J680" s="1631" t="s">
        <v>3087</v>
      </c>
      <c r="K680" s="1632" t="s">
        <v>3088</v>
      </c>
      <c r="L680" s="343" t="s">
        <v>5604</v>
      </c>
      <c r="M680" s="291"/>
      <c r="N680" s="291"/>
      <c r="S680" s="364"/>
      <c r="Z680" s="609" t="s">
        <v>273</v>
      </c>
      <c r="AA680" s="609" t="s">
        <v>2935</v>
      </c>
    </row>
    <row r="681" spans="1:27" ht="17">
      <c r="A681" s="2714"/>
      <c r="B681" s="371">
        <v>101</v>
      </c>
      <c r="C681" s="371" t="s">
        <v>2791</v>
      </c>
      <c r="D681" s="2716">
        <f t="shared" ref="D681:D686" si="58">IF(OR(G681="*",G681="",G681=0),0,COUNTIF($G$681:$G$686,G681))</f>
        <v>0</v>
      </c>
      <c r="E681" s="2721">
        <v>1</v>
      </c>
      <c r="F681" s="294"/>
      <c r="G681" s="1634" t="s">
        <v>2792</v>
      </c>
      <c r="H681" s="309"/>
      <c r="I681" s="309"/>
      <c r="J681" s="309"/>
      <c r="K681" s="346"/>
      <c r="L681" s="355" t="s">
        <v>5365</v>
      </c>
      <c r="M681" s="1522" t="s">
        <v>5606</v>
      </c>
      <c r="N681" s="291"/>
      <c r="S681" s="364"/>
      <c r="Z681" s="609" t="s">
        <v>273</v>
      </c>
      <c r="AA681" s="609" t="s">
        <v>2935</v>
      </c>
    </row>
    <row r="682" spans="1:27" ht="17">
      <c r="A682" s="2714"/>
      <c r="B682" s="371">
        <v>102</v>
      </c>
      <c r="C682" s="371" t="s">
        <v>2791</v>
      </c>
      <c r="D682" s="2716">
        <f t="shared" si="58"/>
        <v>0</v>
      </c>
      <c r="E682" s="2721">
        <v>1</v>
      </c>
      <c r="F682" s="294"/>
      <c r="G682" s="1634" t="s">
        <v>2792</v>
      </c>
      <c r="H682" s="309"/>
      <c r="I682" s="309"/>
      <c r="J682" s="309"/>
      <c r="K682" s="346"/>
      <c r="L682" s="355" t="s">
        <v>6177</v>
      </c>
      <c r="M682" s="291"/>
      <c r="N682" s="291"/>
      <c r="S682" s="364"/>
      <c r="Z682" s="609" t="s">
        <v>273</v>
      </c>
      <c r="AA682" s="609" t="s">
        <v>2935</v>
      </c>
    </row>
    <row r="683" spans="1:27" ht="17">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7">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7">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7">
      <c r="A687" s="2714"/>
      <c r="B687" s="371"/>
      <c r="C687" s="371" t="s">
        <v>2755</v>
      </c>
      <c r="D687" s="371"/>
      <c r="F687" s="294"/>
      <c r="G687" s="301"/>
      <c r="H687" s="315"/>
      <c r="I687" s="315"/>
      <c r="J687" s="315"/>
      <c r="K687" s="315"/>
      <c r="L687" s="291"/>
      <c r="M687" s="291"/>
      <c r="N687" s="291"/>
      <c r="S687" s="364"/>
      <c r="Z687" s="609" t="s">
        <v>273</v>
      </c>
      <c r="AA687" s="609" t="s">
        <v>2935</v>
      </c>
    </row>
    <row r="688" spans="1:27" ht="17">
      <c r="A688" s="2714" t="s">
        <v>432</v>
      </c>
      <c r="B688" s="371">
        <v>10</v>
      </c>
      <c r="C688" s="371"/>
      <c r="D688" s="2716" t="str">
        <f>VLOOKUP($A688,Sheet_NoteList,2,0)</f>
        <v>应收账款补充资料</v>
      </c>
      <c r="E688" s="2716" t="s">
        <v>6533</v>
      </c>
      <c r="F688" s="294"/>
      <c r="G688" s="483" t="str">
        <f>"("&amp;B688&amp;")"&amp;D688</f>
        <v>(10)应收账款补充资料</v>
      </c>
      <c r="H688" s="1517" t="str">
        <f>$A688</f>
        <v>1122x</v>
      </c>
      <c r="I688" s="343" t="s">
        <v>5966</v>
      </c>
      <c r="J688" s="301" t="s">
        <v>5964</v>
      </c>
      <c r="K688" s="2210">
        <f>N695</f>
        <v>0</v>
      </c>
      <c r="L688" s="345"/>
      <c r="M688" s="301" t="s">
        <v>5965</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7">
      <c r="A691" s="2714"/>
      <c r="B691" s="371"/>
      <c r="C691" s="371"/>
      <c r="D691" s="371"/>
      <c r="E691" s="586" t="s">
        <v>2749</v>
      </c>
      <c r="F691" s="363"/>
      <c r="G691" s="3147" t="s">
        <v>47</v>
      </c>
      <c r="H691" s="3183" t="str">
        <f>$V$3</f>
        <v>2018年12月31日</v>
      </c>
      <c r="I691" s="3178" t="s">
        <v>3027</v>
      </c>
      <c r="J691" s="3178"/>
      <c r="K691" s="3178" t="s">
        <v>3028</v>
      </c>
      <c r="L691" s="3178"/>
      <c r="M691" s="3178"/>
      <c r="N691" s="3270" t="str">
        <f>$V$2</f>
        <v>2019年12月31日</v>
      </c>
      <c r="O691" s="355" t="s">
        <v>6177</v>
      </c>
      <c r="P691" s="291"/>
      <c r="S691" s="364"/>
      <c r="Z691" s="609" t="s">
        <v>273</v>
      </c>
      <c r="AA691" s="609" t="s">
        <v>2935</v>
      </c>
    </row>
    <row r="692" spans="1:27" ht="17">
      <c r="A692" s="2714"/>
      <c r="B692" s="371"/>
      <c r="C692" s="371"/>
      <c r="D692" s="371"/>
      <c r="E692" s="586" t="s">
        <v>2749</v>
      </c>
      <c r="F692" s="363"/>
      <c r="G692" s="3148"/>
      <c r="H692" s="3184"/>
      <c r="I692" s="2207" t="s">
        <v>2920</v>
      </c>
      <c r="J692" s="2207" t="s">
        <v>932</v>
      </c>
      <c r="K692" s="2207" t="s">
        <v>3029</v>
      </c>
      <c r="L692" s="2207" t="s">
        <v>3030</v>
      </c>
      <c r="M692" s="2207" t="s">
        <v>932</v>
      </c>
      <c r="N692" s="3271"/>
      <c r="P692" s="291"/>
      <c r="S692" s="364"/>
      <c r="Z692" s="609" t="s">
        <v>273</v>
      </c>
      <c r="AA692" s="609" t="s">
        <v>2935</v>
      </c>
    </row>
    <row r="693" spans="1:27" ht="17">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7">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7">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7">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6">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5272</v>
      </c>
      <c r="K700" s="434"/>
      <c r="L700" s="434"/>
      <c r="M700" s="435"/>
      <c r="N700" s="434"/>
      <c r="O700" s="434"/>
      <c r="P700" s="435"/>
      <c r="Q700" s="442"/>
      <c r="R700" s="443"/>
      <c r="S700" s="364"/>
      <c r="Z700" s="609" t="s">
        <v>448</v>
      </c>
      <c r="AA700" s="609" t="s">
        <v>3090</v>
      </c>
    </row>
    <row r="701" spans="1:27" ht="17">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7">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7">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7">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6">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6461</v>
      </c>
      <c r="I707" s="371" t="s">
        <v>6462</v>
      </c>
      <c r="J707" s="371" t="s">
        <v>6463</v>
      </c>
      <c r="K707" s="547" t="s">
        <v>6464</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6465</v>
      </c>
      <c r="I708" s="371" t="s">
        <v>6466</v>
      </c>
      <c r="J708" s="371" t="s">
        <v>6467</v>
      </c>
      <c r="K708" s="547" t="s">
        <v>6468</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145" t="s">
        <v>5135</v>
      </c>
      <c r="H709" s="3141" t="str">
        <f>$V$2</f>
        <v>2019年12月31日</v>
      </c>
      <c r="I709" s="3141"/>
      <c r="J709" s="3141"/>
      <c r="K709" s="3142"/>
      <c r="L709" s="355" t="s">
        <v>5272</v>
      </c>
      <c r="M709" s="1604"/>
      <c r="N709" s="1604"/>
      <c r="O709" s="1604"/>
      <c r="P709" s="1604"/>
      <c r="Q709" s="1604"/>
      <c r="R709" s="1604"/>
      <c r="S709" s="364"/>
      <c r="Z709" s="609" t="s">
        <v>448</v>
      </c>
      <c r="AA709" s="609" t="s">
        <v>3090</v>
      </c>
    </row>
    <row r="710" spans="1:29" ht="39">
      <c r="A710" s="2714"/>
      <c r="B710" s="371"/>
      <c r="C710" s="371"/>
      <c r="D710" s="2716"/>
      <c r="E710" s="586" t="s">
        <v>2749</v>
      </c>
      <c r="F710" s="414"/>
      <c r="G710" s="3146"/>
      <c r="H710" s="2688" t="s">
        <v>6397</v>
      </c>
      <c r="I710" s="2688" t="s">
        <v>6395</v>
      </c>
      <c r="J710" s="2688" t="s">
        <v>5145</v>
      </c>
      <c r="K710" s="2690" t="s">
        <v>6396</v>
      </c>
      <c r="L710" s="1604"/>
      <c r="M710" s="1604"/>
      <c r="N710" s="1604"/>
      <c r="O710" s="1604"/>
      <c r="P710" s="1604"/>
      <c r="Q710" s="1604"/>
      <c r="R710" s="1604"/>
      <c r="S710" s="364"/>
      <c r="Z710" s="609" t="s">
        <v>448</v>
      </c>
      <c r="AA710" s="609" t="s">
        <v>3090</v>
      </c>
    </row>
    <row r="711" spans="1:29" ht="17">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6575</v>
      </c>
    </row>
    <row r="712" spans="1:29" ht="17">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7">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7">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7">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7">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6575</v>
      </c>
    </row>
    <row r="717" spans="1:29" ht="17">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7">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6575</v>
      </c>
    </row>
    <row r="720" spans="1:29" ht="17">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9">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6469</v>
      </c>
      <c r="I722" s="371" t="s">
        <v>6470</v>
      </c>
      <c r="J722" s="371" t="s">
        <v>6471</v>
      </c>
      <c r="K722" s="547" t="s">
        <v>6472</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6473</v>
      </c>
      <c r="I723" s="371" t="s">
        <v>6474</v>
      </c>
      <c r="J723" s="371" t="s">
        <v>6475</v>
      </c>
      <c r="K723" s="547" t="s">
        <v>6476</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145" t="s">
        <v>6398</v>
      </c>
      <c r="H724" s="3141" t="str">
        <f>$V$2</f>
        <v>2019年12月31日</v>
      </c>
      <c r="I724" s="3141"/>
      <c r="J724" s="3141"/>
      <c r="K724" s="3142"/>
      <c r="L724" s="355" t="s">
        <v>5272</v>
      </c>
      <c r="M724" s="433"/>
      <c r="N724" s="428"/>
      <c r="O724" s="428"/>
      <c r="P724" s="433"/>
      <c r="Q724" s="442"/>
      <c r="R724" s="443"/>
      <c r="S724" s="364"/>
      <c r="Z724" s="609" t="s">
        <v>448</v>
      </c>
      <c r="AA724" s="609" t="s">
        <v>3090</v>
      </c>
    </row>
    <row r="725" spans="1:27" ht="39">
      <c r="A725" s="2714"/>
      <c r="B725" s="371"/>
      <c r="C725" s="371"/>
      <c r="D725" s="2716"/>
      <c r="E725" s="586" t="s">
        <v>2749</v>
      </c>
      <c r="F725" s="414"/>
      <c r="G725" s="3146"/>
      <c r="H725" s="2688" t="s">
        <v>6399</v>
      </c>
      <c r="I725" s="2688" t="s">
        <v>6400</v>
      </c>
      <c r="J725" s="2688" t="s">
        <v>6401</v>
      </c>
      <c r="K725" s="2690" t="s">
        <v>6402</v>
      </c>
      <c r="L725" s="434"/>
      <c r="M725" s="435"/>
      <c r="N725" s="434"/>
      <c r="O725" s="434"/>
      <c r="P725" s="435"/>
      <c r="Q725" s="442"/>
      <c r="R725" s="443"/>
      <c r="S725" s="364"/>
      <c r="Z725" s="609" t="s">
        <v>448</v>
      </c>
      <c r="AA725" s="609" t="s">
        <v>3090</v>
      </c>
    </row>
    <row r="726" spans="1:27" ht="17">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7">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7">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7">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7">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7.5" thickTop="1">
      <c r="A733" s="2714"/>
      <c r="B733" s="371"/>
      <c r="C733" s="371" t="s">
        <v>2565</v>
      </c>
      <c r="D733" s="2716"/>
      <c r="F733" s="293"/>
      <c r="G733" s="1549" t="s">
        <v>5368</v>
      </c>
      <c r="H733" s="1550" t="str">
        <f>G706</f>
        <v>(2)应收款项融资——应收票据按减值计提方法分类</v>
      </c>
      <c r="I733" s="1551"/>
      <c r="J733" s="1552"/>
      <c r="K733" s="1551"/>
      <c r="L733" s="1553" t="s">
        <v>5369</v>
      </c>
      <c r="M733" s="425"/>
      <c r="N733" s="426"/>
      <c r="O733" s="427"/>
      <c r="P733" s="425"/>
      <c r="Q733" s="442"/>
      <c r="R733" s="442"/>
      <c r="S733" s="364"/>
      <c r="Z733" s="609" t="s">
        <v>448</v>
      </c>
      <c r="AA733" s="609" t="s">
        <v>3090</v>
      </c>
    </row>
    <row r="734" spans="1:27" ht="17">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7">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7">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7">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9">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6477</v>
      </c>
      <c r="I741" s="371" t="s">
        <v>6478</v>
      </c>
      <c r="J741" s="371" t="s">
        <v>6479</v>
      </c>
      <c r="K741" s="547" t="s">
        <v>6480</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6481</v>
      </c>
      <c r="I742" s="371" t="s">
        <v>6482</v>
      </c>
      <c r="J742" s="371" t="s">
        <v>6483</v>
      </c>
      <c r="K742" s="547" t="s">
        <v>6484</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145" t="s">
        <v>5136</v>
      </c>
      <c r="H743" s="3141" t="str">
        <f>$V$2</f>
        <v>2019年12月31日</v>
      </c>
      <c r="I743" s="3141"/>
      <c r="J743" s="3141"/>
      <c r="K743" s="3142"/>
      <c r="L743" s="355" t="s">
        <v>5272</v>
      </c>
      <c r="M743" s="433"/>
      <c r="N743" s="428"/>
      <c r="O743" s="428"/>
      <c r="P743" s="433"/>
      <c r="Q743" s="442"/>
      <c r="R743" s="443"/>
      <c r="S743" s="364"/>
      <c r="Z743" s="609" t="s">
        <v>448</v>
      </c>
      <c r="AA743" s="609" t="s">
        <v>3090</v>
      </c>
    </row>
    <row r="744" spans="1:27" ht="39">
      <c r="A744" s="2714"/>
      <c r="B744" s="371"/>
      <c r="C744" s="371"/>
      <c r="D744" s="2716"/>
      <c r="E744" s="586" t="s">
        <v>2749</v>
      </c>
      <c r="F744" s="414"/>
      <c r="G744" s="3146"/>
      <c r="H744" s="2688" t="s">
        <v>6397</v>
      </c>
      <c r="I744" s="2688" t="s">
        <v>6395</v>
      </c>
      <c r="J744" s="2688" t="s">
        <v>5145</v>
      </c>
      <c r="K744" s="2690" t="s">
        <v>6396</v>
      </c>
      <c r="L744" s="355" t="s">
        <v>6393</v>
      </c>
      <c r="M744" s="435"/>
      <c r="N744" s="434"/>
      <c r="O744" s="434"/>
      <c r="P744" s="435"/>
      <c r="Q744" s="442"/>
      <c r="R744" s="443"/>
      <c r="S744" s="364"/>
      <c r="Z744" s="609" t="s">
        <v>448</v>
      </c>
      <c r="AA744" s="609" t="s">
        <v>3090</v>
      </c>
    </row>
    <row r="745" spans="1:27" ht="17">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7">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7">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7">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7">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7">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7">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7">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7.5" thickTop="1">
      <c r="A755" s="2714"/>
      <c r="B755" s="371"/>
      <c r="C755" s="371" t="s">
        <v>2565</v>
      </c>
      <c r="D755" s="2716"/>
      <c r="F755" s="293"/>
      <c r="G755" s="1549" t="s">
        <v>5368</v>
      </c>
      <c r="H755" s="1550" t="str">
        <f>G706</f>
        <v>(2)应收款项融资——应收票据按减值计提方法分类</v>
      </c>
      <c r="I755" s="1551"/>
      <c r="J755" s="1552"/>
      <c r="K755" s="1551"/>
      <c r="L755" s="1553" t="s">
        <v>5369</v>
      </c>
      <c r="M755" s="425"/>
      <c r="N755" s="426"/>
      <c r="O755" s="427"/>
      <c r="P755" s="425"/>
      <c r="Q755" s="442"/>
      <c r="R755" s="442"/>
      <c r="S755" s="364"/>
      <c r="Z755" s="609" t="s">
        <v>448</v>
      </c>
      <c r="AA755" s="609" t="s">
        <v>3090</v>
      </c>
    </row>
    <row r="756" spans="1:27" ht="17">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7">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7">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7">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9">
      <c r="A762" s="2714" t="s">
        <v>466</v>
      </c>
      <c r="B762" s="371">
        <v>2.2999999999999998</v>
      </c>
      <c r="C762" s="371"/>
      <c r="D762" s="2716" t="str">
        <f>VLOOKUP($A762,Sheet_NoteList,2,0)</f>
        <v>期末按按组合2计提减值准备的应收款项融资——应收票据</v>
      </c>
      <c r="E762" s="2716" t="s">
        <v>6535</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5469</v>
      </c>
      <c r="H763" s="371" t="s">
        <v>6485</v>
      </c>
      <c r="I763" s="371" t="s">
        <v>6486</v>
      </c>
      <c r="J763" s="371" t="s">
        <v>6487</v>
      </c>
      <c r="K763" s="547" t="s">
        <v>6488</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6489</v>
      </c>
      <c r="I764" s="371" t="s">
        <v>6490</v>
      </c>
      <c r="J764" s="371" t="s">
        <v>6491</v>
      </c>
      <c r="K764" s="547" t="s">
        <v>6492</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147" t="s">
        <v>5949</v>
      </c>
      <c r="H765" s="3143" t="str">
        <f>$V$2</f>
        <v>2019年12月31日</v>
      </c>
      <c r="I765" s="3143"/>
      <c r="J765" s="3143"/>
      <c r="K765" s="3144"/>
      <c r="L765" s="355" t="s">
        <v>5950</v>
      </c>
      <c r="M765" s="433"/>
      <c r="N765" s="428"/>
      <c r="O765" s="428"/>
      <c r="P765" s="433"/>
      <c r="Q765" s="442"/>
      <c r="R765" s="443"/>
      <c r="S765" s="364"/>
      <c r="Z765" s="609" t="s">
        <v>448</v>
      </c>
      <c r="AA765" s="609" t="s">
        <v>3090</v>
      </c>
    </row>
    <row r="766" spans="1:27" ht="39">
      <c r="A766" s="2714"/>
      <c r="B766" s="371"/>
      <c r="C766" s="371"/>
      <c r="D766" s="2716"/>
      <c r="E766" s="586" t="s">
        <v>2749</v>
      </c>
      <c r="F766" s="414"/>
      <c r="G766" s="3148"/>
      <c r="H766" s="2693" t="s">
        <v>6397</v>
      </c>
      <c r="I766" s="2693" t="s">
        <v>6395</v>
      </c>
      <c r="J766" s="2693" t="s">
        <v>5145</v>
      </c>
      <c r="K766" s="2697" t="s">
        <v>6396</v>
      </c>
      <c r="L766" s="355" t="s">
        <v>6177</v>
      </c>
      <c r="M766" s="1511"/>
      <c r="N766" s="434"/>
      <c r="O766" s="434"/>
      <c r="P766" s="1511"/>
      <c r="Q766" s="442"/>
      <c r="R766" s="443"/>
      <c r="S766" s="364"/>
      <c r="Z766" s="609" t="s">
        <v>448</v>
      </c>
      <c r="AA766" s="609" t="s">
        <v>3090</v>
      </c>
    </row>
    <row r="767" spans="1:27" ht="17">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7">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7">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7">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7">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7">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7">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7">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7">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6">
      <c r="A777" s="2714" t="s">
        <v>6372</v>
      </c>
      <c r="B777" s="371">
        <v>3</v>
      </c>
      <c r="C777" s="371"/>
      <c r="D777" s="2716" t="str">
        <f>VLOOKUP($A777,Sheet_NoteList,2,0)</f>
        <v>应收款项融资——应收账款按减值计提方法分类</v>
      </c>
      <c r="E777" s="2716" t="s">
        <v>6533</v>
      </c>
      <c r="F777" s="293"/>
      <c r="G777" s="372" t="str">
        <f>"("&amp;B777&amp;")"&amp;D777</f>
        <v>(3)应收款项融资——应收账款按减值计提方法分类</v>
      </c>
      <c r="H777" s="1517" t="str">
        <f>$A777</f>
        <v>1124g</v>
      </c>
      <c r="I777" s="343" t="s">
        <v>6385</v>
      </c>
      <c r="J777" s="301" t="s">
        <v>6386</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6387</v>
      </c>
      <c r="H778" s="371" t="s">
        <v>6493</v>
      </c>
      <c r="I778" s="371" t="s">
        <v>6494</v>
      </c>
      <c r="J778" s="371" t="s">
        <v>6495</v>
      </c>
      <c r="K778" s="547" t="s">
        <v>6496</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6497</v>
      </c>
      <c r="I779" s="371" t="s">
        <v>6498</v>
      </c>
      <c r="J779" s="371" t="s">
        <v>6499</v>
      </c>
      <c r="K779" s="547" t="s">
        <v>6500</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145" t="s">
        <v>5135</v>
      </c>
      <c r="H780" s="3141" t="str">
        <f>$V$2</f>
        <v>2019年12月31日</v>
      </c>
      <c r="I780" s="3141"/>
      <c r="J780" s="3141"/>
      <c r="K780" s="3142"/>
      <c r="L780" s="355" t="s">
        <v>5272</v>
      </c>
      <c r="M780" s="1604"/>
      <c r="N780" s="1604"/>
      <c r="O780" s="1604"/>
      <c r="P780" s="1604"/>
      <c r="Q780" s="1604"/>
      <c r="R780" s="1604"/>
      <c r="S780" s="364"/>
      <c r="Z780" s="609" t="s">
        <v>448</v>
      </c>
      <c r="AA780" s="609" t="s">
        <v>3090</v>
      </c>
    </row>
    <row r="781" spans="1:29" ht="39">
      <c r="A781" s="2714"/>
      <c r="B781" s="371"/>
      <c r="C781" s="371"/>
      <c r="D781" s="2716"/>
      <c r="E781" s="586" t="s">
        <v>2749</v>
      </c>
      <c r="F781" s="414"/>
      <c r="G781" s="3146"/>
      <c r="H781" s="2688" t="s">
        <v>6397</v>
      </c>
      <c r="I781" s="2688" t="s">
        <v>6395</v>
      </c>
      <c r="J781" s="2688" t="s">
        <v>5145</v>
      </c>
      <c r="K781" s="2690" t="s">
        <v>6396</v>
      </c>
      <c r="L781" s="1604"/>
      <c r="M781" s="1604"/>
      <c r="N781" s="1604"/>
      <c r="O781" s="1604"/>
      <c r="P781" s="1604"/>
      <c r="Q781" s="1604"/>
      <c r="R781" s="1604"/>
      <c r="S781" s="364"/>
      <c r="Z781" s="609" t="s">
        <v>448</v>
      </c>
      <c r="AA781" s="609" t="s">
        <v>3090</v>
      </c>
    </row>
    <row r="782" spans="1:29" ht="17">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6575</v>
      </c>
    </row>
    <row r="783" spans="1:29" ht="17">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7">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7">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7">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7">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6575</v>
      </c>
    </row>
    <row r="788" spans="1:29" ht="17">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7">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7">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9">
      <c r="A792" s="2714" t="s">
        <v>6373</v>
      </c>
      <c r="B792" s="371">
        <v>3.1</v>
      </c>
      <c r="C792" s="371"/>
      <c r="D792" s="2716" t="str">
        <f>VLOOKUP($A792,Sheet_NoteList,2,0)</f>
        <v>期末按单项计提减值准备的应收款项融资——应收账款</v>
      </c>
      <c r="E792" s="2716" t="s">
        <v>6533</v>
      </c>
      <c r="F792" s="293"/>
      <c r="G792" s="372" t="str">
        <f>"("&amp;B792&amp;")"&amp;D792</f>
        <v>(3.1)期末按单项计提减值准备的应收款项融资——应收账款</v>
      </c>
      <c r="H792" s="1517" t="str">
        <f>$A792</f>
        <v>1124h</v>
      </c>
      <c r="I792" s="343" t="s">
        <v>6385</v>
      </c>
      <c r="J792" s="301" t="s">
        <v>6386</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6388</v>
      </c>
      <c r="H793" s="371" t="s">
        <v>6501</v>
      </c>
      <c r="I793" s="371" t="s">
        <v>6502</v>
      </c>
      <c r="J793" s="371" t="s">
        <v>6503</v>
      </c>
      <c r="K793" s="547" t="s">
        <v>6504</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6505</v>
      </c>
      <c r="I794" s="371" t="s">
        <v>6506</v>
      </c>
      <c r="J794" s="371" t="s">
        <v>6507</v>
      </c>
      <c r="K794" s="547" t="s">
        <v>6508</v>
      </c>
      <c r="L794" s="349"/>
      <c r="M794" s="301"/>
      <c r="N794" s="391"/>
      <c r="O794" s="349"/>
      <c r="P794" s="301"/>
      <c r="S794" s="364"/>
      <c r="Z794" s="609" t="s">
        <v>448</v>
      </c>
      <c r="AA794" s="609" t="s">
        <v>3090</v>
      </c>
    </row>
    <row r="795" spans="1:29" ht="18" customHeight="1">
      <c r="A795" s="2714"/>
      <c r="B795" s="371"/>
      <c r="C795" s="371"/>
      <c r="D795" s="2716"/>
      <c r="E795" s="586" t="s">
        <v>2749</v>
      </c>
      <c r="F795" s="414"/>
      <c r="G795" s="3145" t="s">
        <v>5136</v>
      </c>
      <c r="H795" s="3141" t="str">
        <f>$V$2</f>
        <v>2019年12月31日</v>
      </c>
      <c r="I795" s="3141"/>
      <c r="J795" s="3141"/>
      <c r="K795" s="3142"/>
      <c r="L795" s="355" t="s">
        <v>5272</v>
      </c>
      <c r="M795" s="301"/>
      <c r="N795" s="391"/>
      <c r="O795" s="349"/>
      <c r="P795" s="301"/>
      <c r="S795" s="364"/>
      <c r="Z795" s="609" t="s">
        <v>448</v>
      </c>
      <c r="AA795" s="609" t="s">
        <v>3090</v>
      </c>
    </row>
    <row r="796" spans="1:29" ht="39">
      <c r="A796" s="2714"/>
      <c r="B796" s="371"/>
      <c r="C796" s="371"/>
      <c r="D796" s="2716"/>
      <c r="E796" s="586" t="s">
        <v>2749</v>
      </c>
      <c r="F796" s="414"/>
      <c r="G796" s="3146"/>
      <c r="H796" s="2688" t="s">
        <v>6397</v>
      </c>
      <c r="I796" s="2688" t="s">
        <v>6395</v>
      </c>
      <c r="J796" s="2688" t="s">
        <v>5145</v>
      </c>
      <c r="K796" s="2690" t="s">
        <v>6396</v>
      </c>
      <c r="L796" s="349"/>
      <c r="M796" s="301"/>
      <c r="N796" s="391"/>
      <c r="O796" s="349"/>
      <c r="P796" s="301"/>
      <c r="S796" s="364"/>
      <c r="Z796" s="609" t="s">
        <v>448</v>
      </c>
      <c r="AA796" s="609" t="s">
        <v>3090</v>
      </c>
    </row>
    <row r="797" spans="1:29" ht="17">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7">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7">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7">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7">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7.5" thickTop="1">
      <c r="A804" s="2714"/>
      <c r="B804" s="371"/>
      <c r="C804" s="371" t="s">
        <v>2565</v>
      </c>
      <c r="D804" s="2716"/>
      <c r="F804" s="293"/>
      <c r="G804" s="1549" t="s">
        <v>5368</v>
      </c>
      <c r="H804" s="1550" t="str">
        <f>G777</f>
        <v>(3)应收款项融资——应收账款按减值计提方法分类</v>
      </c>
      <c r="I804" s="1551"/>
      <c r="J804" s="1552"/>
      <c r="K804" s="1551"/>
      <c r="L804" s="1553" t="s">
        <v>5369</v>
      </c>
      <c r="M804" s="301"/>
      <c r="N804" s="391"/>
      <c r="O804" s="349"/>
      <c r="P804" s="301"/>
      <c r="S804" s="364"/>
      <c r="Z804" s="609" t="s">
        <v>448</v>
      </c>
      <c r="AA804" s="609" t="s">
        <v>3090</v>
      </c>
    </row>
    <row r="805" spans="1:27" ht="17">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7">
      <c r="A806" s="2714"/>
      <c r="B806" s="371"/>
      <c r="C806" s="371" t="s">
        <v>2565</v>
      </c>
      <c r="D806" s="2716"/>
      <c r="F806" s="293"/>
      <c r="G806" s="604" t="str">
        <f>"本注释B:"&amp; G802</f>
        <v>本注释B:合       计</v>
      </c>
      <c r="H806" s="351"/>
      <c r="I806" s="351"/>
      <c r="J806" s="456">
        <f>J802</f>
        <v>0</v>
      </c>
      <c r="K806" s="351"/>
      <c r="L806" s="2638" t="s">
        <v>6373</v>
      </c>
      <c r="M806" s="301"/>
      <c r="N806" s="391"/>
      <c r="O806" s="349"/>
      <c r="P806" s="301"/>
      <c r="S806" s="364"/>
      <c r="Z806" s="609" t="s">
        <v>448</v>
      </c>
      <c r="AA806" s="609" t="s">
        <v>3090</v>
      </c>
    </row>
    <row r="807" spans="1:27" ht="1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7">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7">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9">
      <c r="A811" s="2714" t="s">
        <v>6374</v>
      </c>
      <c r="B811" s="371">
        <v>3.2</v>
      </c>
      <c r="C811" s="371"/>
      <c r="D811" s="2716" t="str">
        <f>VLOOKUP($A811,Sheet_NoteList,2,0)</f>
        <v>期末按按组合1计提减值准备的应收款项融资——应收账款</v>
      </c>
      <c r="E811" s="2716" t="s">
        <v>6535</v>
      </c>
      <c r="F811" s="293"/>
      <c r="G811" s="372" t="str">
        <f>"("&amp;B811&amp;")"&amp;D811</f>
        <v>(3.2)期末按按组合1计提减值准备的应收款项融资——应收账款</v>
      </c>
      <c r="H811" s="1517" t="str">
        <f>$A811</f>
        <v>1124i</v>
      </c>
      <c r="I811" s="343" t="s">
        <v>6389</v>
      </c>
      <c r="J811" s="301" t="s">
        <v>6390</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6391</v>
      </c>
      <c r="H812" s="371" t="s">
        <v>6509</v>
      </c>
      <c r="I812" s="371" t="s">
        <v>6510</v>
      </c>
      <c r="J812" s="371" t="s">
        <v>6511</v>
      </c>
      <c r="K812" s="547" t="s">
        <v>6512</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6513</v>
      </c>
      <c r="I813" s="371" t="s">
        <v>6514</v>
      </c>
      <c r="J813" s="371" t="s">
        <v>6515</v>
      </c>
      <c r="K813" s="547" t="s">
        <v>6516</v>
      </c>
      <c r="L813" s="349"/>
      <c r="M813" s="301"/>
      <c r="N813" s="391"/>
      <c r="O813" s="349"/>
      <c r="P813" s="301"/>
      <c r="S813" s="364"/>
      <c r="Z813" s="609" t="s">
        <v>448</v>
      </c>
      <c r="AA813" s="609" t="s">
        <v>3090</v>
      </c>
    </row>
    <row r="814" spans="1:27" ht="18" customHeight="1">
      <c r="A814" s="2714"/>
      <c r="B814" s="371"/>
      <c r="C814" s="371"/>
      <c r="D814" s="2716"/>
      <c r="E814" s="586" t="s">
        <v>2749</v>
      </c>
      <c r="F814" s="414"/>
      <c r="G814" s="3145" t="s">
        <v>5136</v>
      </c>
      <c r="H814" s="3141" t="str">
        <f>$V$2</f>
        <v>2019年12月31日</v>
      </c>
      <c r="I814" s="3141"/>
      <c r="J814" s="3141"/>
      <c r="K814" s="3142"/>
      <c r="L814" s="355" t="s">
        <v>5272</v>
      </c>
      <c r="M814" s="301"/>
      <c r="N814" s="391"/>
      <c r="O814" s="349"/>
      <c r="P814" s="301"/>
      <c r="S814" s="364"/>
      <c r="Z814" s="609" t="s">
        <v>448</v>
      </c>
      <c r="AA814" s="609" t="s">
        <v>3090</v>
      </c>
    </row>
    <row r="815" spans="1:27" ht="39">
      <c r="A815" s="2714"/>
      <c r="B815" s="371"/>
      <c r="C815" s="371"/>
      <c r="D815" s="2716"/>
      <c r="E815" s="586" t="s">
        <v>2749</v>
      </c>
      <c r="F815" s="414"/>
      <c r="G815" s="3146"/>
      <c r="H815" s="2688" t="s">
        <v>6397</v>
      </c>
      <c r="I815" s="2688" t="s">
        <v>6395</v>
      </c>
      <c r="J815" s="2688" t="s">
        <v>5145</v>
      </c>
      <c r="K815" s="2690" t="s">
        <v>6396</v>
      </c>
      <c r="L815" s="355" t="s">
        <v>6393</v>
      </c>
      <c r="M815" s="301"/>
      <c r="N815" s="391"/>
      <c r="O815" s="349"/>
      <c r="P815" s="301"/>
      <c r="S815" s="364"/>
      <c r="Z815" s="609" t="s">
        <v>448</v>
      </c>
      <c r="AA815" s="609" t="s">
        <v>3090</v>
      </c>
    </row>
    <row r="816" spans="1:27" ht="17">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7">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7">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7">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7">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7">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7">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7">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7.5" thickTop="1">
      <c r="A826" s="2714"/>
      <c r="B826" s="371"/>
      <c r="C826" s="371" t="s">
        <v>2565</v>
      </c>
      <c r="D826" s="2716"/>
      <c r="F826" s="293"/>
      <c r="G826" s="1549" t="s">
        <v>5368</v>
      </c>
      <c r="H826" s="1550" t="str">
        <f>G777</f>
        <v>(3)应收款项融资——应收账款按减值计提方法分类</v>
      </c>
      <c r="I826" s="1551"/>
      <c r="J826" s="1552"/>
      <c r="K826" s="1551"/>
      <c r="L826" s="1553" t="s">
        <v>5369</v>
      </c>
      <c r="M826" s="301"/>
      <c r="N826" s="391"/>
      <c r="O826" s="349"/>
      <c r="P826" s="301"/>
      <c r="S826" s="364"/>
      <c r="Z826" s="609" t="s">
        <v>448</v>
      </c>
      <c r="AA826" s="609" t="s">
        <v>3090</v>
      </c>
    </row>
    <row r="827" spans="1:27" ht="17">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7">
      <c r="A828" s="2714"/>
      <c r="B828" s="371"/>
      <c r="C828" s="371" t="s">
        <v>2565</v>
      </c>
      <c r="D828" s="2716"/>
      <c r="F828" s="293"/>
      <c r="G828" s="604" t="str">
        <f>"本注释B:"&amp; G824</f>
        <v>本注释B:合       计</v>
      </c>
      <c r="H828" s="351"/>
      <c r="I828" s="351"/>
      <c r="J828" s="456">
        <f>J824</f>
        <v>0</v>
      </c>
      <c r="K828" s="351"/>
      <c r="L828" s="2638" t="s">
        <v>6374</v>
      </c>
      <c r="M828" s="301"/>
      <c r="N828" s="391"/>
      <c r="O828" s="349"/>
      <c r="P828" s="301"/>
      <c r="S828" s="364"/>
      <c r="Z828" s="609" t="s">
        <v>448</v>
      </c>
      <c r="AA828" s="609" t="s">
        <v>3090</v>
      </c>
    </row>
    <row r="829" spans="1:27" ht="1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7">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7">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9">
      <c r="A833" s="2714" t="s">
        <v>6375</v>
      </c>
      <c r="B833" s="371">
        <v>3.3</v>
      </c>
      <c r="C833" s="371"/>
      <c r="D833" s="2716" t="str">
        <f>VLOOKUP($A833,Sheet_NoteList,2,0)</f>
        <v>期末按按组合2计提减值准备的应收款项融资——应收账款</v>
      </c>
      <c r="E833" s="2716" t="s">
        <v>6535</v>
      </c>
      <c r="F833" s="293"/>
      <c r="G833" s="372" t="str">
        <f>"("&amp;B833&amp;")"&amp;D833</f>
        <v>(3.3)期末按按组合2计提减值准备的应收款项融资——应收账款</v>
      </c>
      <c r="H833" s="1517" t="str">
        <f>$A833</f>
        <v>1124j</v>
      </c>
      <c r="I833" s="343" t="s">
        <v>6385</v>
      </c>
      <c r="J833" s="301" t="s">
        <v>6386</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6392</v>
      </c>
      <c r="H834" s="371" t="s">
        <v>6517</v>
      </c>
      <c r="I834" s="371" t="s">
        <v>6518</v>
      </c>
      <c r="J834" s="371" t="s">
        <v>6519</v>
      </c>
      <c r="K834" s="547" t="s">
        <v>6520</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6521</v>
      </c>
      <c r="I835" s="371" t="s">
        <v>6522</v>
      </c>
      <c r="J835" s="371" t="s">
        <v>6523</v>
      </c>
      <c r="K835" s="547" t="s">
        <v>6524</v>
      </c>
      <c r="L835" s="349"/>
      <c r="M835" s="301"/>
      <c r="N835" s="391"/>
      <c r="O835" s="349"/>
      <c r="P835" s="301"/>
      <c r="S835" s="364"/>
      <c r="Z835" s="609" t="s">
        <v>448</v>
      </c>
      <c r="AA835" s="609" t="s">
        <v>3090</v>
      </c>
    </row>
    <row r="836" spans="1:27" ht="18" customHeight="1">
      <c r="A836" s="2714"/>
      <c r="B836" s="371"/>
      <c r="C836" s="371"/>
      <c r="D836" s="2716"/>
      <c r="E836" s="586" t="s">
        <v>2749</v>
      </c>
      <c r="F836" s="414"/>
      <c r="G836" s="3147" t="s">
        <v>5949</v>
      </c>
      <c r="H836" s="3143" t="str">
        <f>$V$2</f>
        <v>2019年12月31日</v>
      </c>
      <c r="I836" s="3143"/>
      <c r="J836" s="3143"/>
      <c r="K836" s="3144"/>
      <c r="L836" s="355" t="s">
        <v>5950</v>
      </c>
      <c r="M836" s="301"/>
      <c r="N836" s="391"/>
      <c r="O836" s="349"/>
      <c r="P836" s="301"/>
      <c r="S836" s="364"/>
      <c r="Z836" s="609" t="s">
        <v>448</v>
      </c>
      <c r="AA836" s="609" t="s">
        <v>3090</v>
      </c>
    </row>
    <row r="837" spans="1:27" ht="39">
      <c r="A837" s="2714"/>
      <c r="B837" s="371"/>
      <c r="C837" s="371"/>
      <c r="D837" s="2716"/>
      <c r="E837" s="586" t="s">
        <v>2749</v>
      </c>
      <c r="F837" s="414"/>
      <c r="G837" s="3148"/>
      <c r="H837" s="2693" t="s">
        <v>6397</v>
      </c>
      <c r="I837" s="2693" t="s">
        <v>6395</v>
      </c>
      <c r="J837" s="2693" t="s">
        <v>5145</v>
      </c>
      <c r="K837" s="2697" t="s">
        <v>6396</v>
      </c>
      <c r="L837" s="355" t="s">
        <v>6177</v>
      </c>
      <c r="M837" s="301"/>
      <c r="N837" s="391"/>
      <c r="O837" s="349"/>
      <c r="P837" s="301"/>
      <c r="S837" s="364"/>
      <c r="Z837" s="609" t="s">
        <v>448</v>
      </c>
      <c r="AA837" s="609" t="s">
        <v>3090</v>
      </c>
    </row>
    <row r="838" spans="1:27" ht="17">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7">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7">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7">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7">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7">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7">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7">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7">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6">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145" t="s">
        <v>5135</v>
      </c>
      <c r="H851" s="3151" t="str">
        <f>$V$3</f>
        <v>2018年12月31日</v>
      </c>
      <c r="I851" s="3149" t="s">
        <v>5210</v>
      </c>
      <c r="J851" s="3151" t="str">
        <f>$X$3</f>
        <v>2019年1月1日</v>
      </c>
      <c r="K851" s="3179" t="s">
        <v>2919</v>
      </c>
      <c r="L851" s="3179"/>
      <c r="M851" s="3179"/>
      <c r="N851" s="3262" t="str">
        <f>$V$2</f>
        <v>2019年12月31日</v>
      </c>
      <c r="O851" s="355" t="s">
        <v>5272</v>
      </c>
      <c r="P851" s="2702" t="str">
        <f>""&amp;"&gt;期末:"&amp;""</f>
        <v>&gt;期末:</v>
      </c>
      <c r="Q851" s="2702"/>
      <c r="R851" s="2703" t="str">
        <f>""&amp;"NoteID"&amp;""</f>
        <v>NoteID</v>
      </c>
      <c r="S851" s="367"/>
      <c r="Z851" s="609" t="s">
        <v>448</v>
      </c>
      <c r="AA851" s="609" t="s">
        <v>3090</v>
      </c>
    </row>
    <row r="852" spans="1:27" ht="26">
      <c r="A852" s="2714"/>
      <c r="B852" s="371"/>
      <c r="C852" s="371"/>
      <c r="D852" s="2716"/>
      <c r="E852" s="586" t="s">
        <v>2749</v>
      </c>
      <c r="F852" s="414"/>
      <c r="G852" s="3146"/>
      <c r="H852" s="3152"/>
      <c r="I852" s="3150"/>
      <c r="J852" s="3152"/>
      <c r="K852" s="2239" t="s">
        <v>5211</v>
      </c>
      <c r="L852" s="2239" t="s">
        <v>5212</v>
      </c>
      <c r="M852" s="2271" t="s">
        <v>5213</v>
      </c>
      <c r="N852" s="3263"/>
      <c r="O852" s="434"/>
      <c r="P852" s="2704"/>
      <c r="Q852" s="2705"/>
      <c r="R852" s="2706"/>
      <c r="S852" s="367"/>
      <c r="Z852" s="609" t="s">
        <v>448</v>
      </c>
      <c r="AA852" s="609" t="s">
        <v>3090</v>
      </c>
    </row>
    <row r="853" spans="1:27" ht="17">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7">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7">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7">
      <c r="A857" s="2714"/>
      <c r="B857" s="371"/>
      <c r="C857" s="371" t="s">
        <v>2755</v>
      </c>
      <c r="D857" s="2716"/>
      <c r="F857" s="293"/>
      <c r="G857" s="376"/>
      <c r="H857" s="315"/>
      <c r="I857" s="396"/>
      <c r="J857" s="315"/>
      <c r="K857" s="423"/>
      <c r="L857" s="315"/>
      <c r="M857" s="315"/>
      <c r="N857" s="2259" t="s">
        <v>3002</v>
      </c>
      <c r="O857" s="427"/>
      <c r="P857" s="1585" t="s">
        <v>5496</v>
      </c>
      <c r="Q857" s="1546"/>
      <c r="R857" s="2700"/>
      <c r="S857" s="364"/>
      <c r="Z857" s="609" t="s">
        <v>448</v>
      </c>
      <c r="AA857" s="609" t="s">
        <v>3090</v>
      </c>
    </row>
    <row r="858" spans="1:27" ht="17">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5653</v>
      </c>
    </row>
    <row r="859" spans="1:27" ht="17">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t="str">
        <f>IF($I859="适用",IF(ROUND(N$858-N859,2)=0,"F/S",ROUND(N$858-N859,2)),"#N/A")</f>
        <v>F/S</v>
      </c>
      <c r="P859" s="301"/>
      <c r="Q859" s="290" t="str">
        <f>IF($I859="不适用","",IF(ROUND(SUM($H$864:$M$869),2)=0,"请输入",""))</f>
        <v>请输入</v>
      </c>
      <c r="S859" s="364"/>
      <c r="Z859" s="609" t="s">
        <v>475</v>
      </c>
      <c r="AA859" s="609" t="s">
        <v>5653</v>
      </c>
    </row>
    <row r="860" spans="1:27" ht="0.75" customHeight="1">
      <c r="A860" s="2714"/>
      <c r="B860" s="371"/>
      <c r="C860" s="371"/>
      <c r="D860" s="371"/>
      <c r="F860" s="371"/>
      <c r="G860" s="371" t="s">
        <v>3101</v>
      </c>
      <c r="H860" s="371" t="s">
        <v>2882</v>
      </c>
      <c r="I860" s="371" t="s">
        <v>3102</v>
      </c>
      <c r="J860" s="371" t="s">
        <v>6193</v>
      </c>
      <c r="K860" s="371" t="s">
        <v>6194</v>
      </c>
      <c r="L860" s="433"/>
      <c r="M860" s="505"/>
      <c r="N860" s="472"/>
      <c r="O860" s="472"/>
      <c r="P860" s="442"/>
      <c r="Q860" s="442"/>
      <c r="R860" s="443"/>
      <c r="S860" s="364"/>
      <c r="Z860" s="609" t="s">
        <v>475</v>
      </c>
      <c r="AA860" s="609" t="s">
        <v>5653</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5653</v>
      </c>
    </row>
    <row r="862" spans="1:27" ht="17">
      <c r="A862" s="2714"/>
      <c r="B862" s="371"/>
      <c r="C862" s="371"/>
      <c r="D862" s="371"/>
      <c r="E862" s="2716" t="s">
        <v>2749</v>
      </c>
      <c r="F862" s="294"/>
      <c r="G862" s="3210" t="s">
        <v>1439</v>
      </c>
      <c r="H862" s="3239" t="str">
        <f>$V$2</f>
        <v>2019年12月31日</v>
      </c>
      <c r="I862" s="3240"/>
      <c r="J862" s="3239" t="str">
        <f>$V$3</f>
        <v>2018年12月31日</v>
      </c>
      <c r="K862" s="3273"/>
      <c r="L862" s="355" t="s">
        <v>5273</v>
      </c>
      <c r="M862" s="438"/>
      <c r="N862" s="473"/>
      <c r="O862" s="472"/>
      <c r="P862" s="442"/>
      <c r="Q862" s="442"/>
      <c r="R862" s="443"/>
      <c r="S862" s="364"/>
      <c r="Z862" s="609" t="s">
        <v>475</v>
      </c>
      <c r="AA862" s="609" t="s">
        <v>5653</v>
      </c>
    </row>
    <row r="863" spans="1:27" ht="17">
      <c r="A863" s="2714"/>
      <c r="B863" s="371"/>
      <c r="C863" s="371"/>
      <c r="D863" s="371"/>
      <c r="E863" s="2716" t="s">
        <v>2749</v>
      </c>
      <c r="F863" s="294"/>
      <c r="G863" s="3211"/>
      <c r="H863" s="502" t="s">
        <v>2887</v>
      </c>
      <c r="I863" s="502" t="s">
        <v>3107</v>
      </c>
      <c r="J863" s="502" t="s">
        <v>2887</v>
      </c>
      <c r="K863" s="508" t="s">
        <v>3107</v>
      </c>
      <c r="L863" s="442"/>
      <c r="M863" s="438"/>
      <c r="N863" s="472"/>
      <c r="O863" s="472"/>
      <c r="P863" s="442"/>
      <c r="Q863" s="442"/>
      <c r="R863" s="443"/>
      <c r="S863" s="364"/>
      <c r="Z863" s="609" t="s">
        <v>475</v>
      </c>
      <c r="AA863" s="609" t="s">
        <v>5653</v>
      </c>
    </row>
    <row r="864" spans="1:27" ht="17">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5653</v>
      </c>
    </row>
    <row r="865" spans="1:27" ht="17">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5653</v>
      </c>
    </row>
    <row r="866" spans="1:27" ht="17">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5653</v>
      </c>
    </row>
    <row r="867" spans="1:27" ht="17">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5653</v>
      </c>
    </row>
    <row r="868" spans="1:27" ht="17">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5653</v>
      </c>
    </row>
    <row r="869" spans="1:27" ht="1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5653</v>
      </c>
    </row>
    <row r="870" spans="1:27" ht="17">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5653</v>
      </c>
    </row>
    <row r="871" spans="1:27" ht="26">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4"/>
      <c r="O871" s="345" t="str">
        <f>IF(ROUND(N$858-N871,2)&gt;=0,"","#Logical!")</f>
        <v/>
      </c>
      <c r="P871" s="301"/>
      <c r="Q871" s="290" t="str">
        <f>IF($I871="不适用","",IF(ROUND(SUM($H$874:$I$888),2)=0,"请输入",""))</f>
        <v>请输入</v>
      </c>
      <c r="S871" s="364"/>
      <c r="Z871" s="609" t="s">
        <v>475</v>
      </c>
      <c r="AA871" s="609" t="s">
        <v>5653</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5653</v>
      </c>
    </row>
    <row r="873" spans="1:27" ht="39">
      <c r="A873" s="2714"/>
      <c r="B873" s="371"/>
      <c r="C873" s="371"/>
      <c r="D873" s="371"/>
      <c r="E873" s="2716" t="s">
        <v>2749</v>
      </c>
      <c r="F873" s="294"/>
      <c r="G873" s="2482" t="s">
        <v>1465</v>
      </c>
      <c r="H873" s="2483" t="str">
        <f>$W$2&amp;"余额"</f>
        <v>2019年12月31日余额</v>
      </c>
      <c r="I873" s="2484" t="s">
        <v>3114</v>
      </c>
      <c r="J873" s="355" t="s">
        <v>5273</v>
      </c>
      <c r="K873" s="291"/>
      <c r="L873" s="291"/>
      <c r="M873" s="291"/>
      <c r="N873" s="291"/>
      <c r="O873" s="291"/>
      <c r="P873" s="291"/>
      <c r="S873" s="364"/>
      <c r="Z873" s="609" t="s">
        <v>475</v>
      </c>
      <c r="AA873" s="609" t="s">
        <v>5653</v>
      </c>
    </row>
    <row r="874" spans="1:27" ht="26">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5653</v>
      </c>
    </row>
    <row r="875" spans="1:27" ht="17">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5653</v>
      </c>
    </row>
    <row r="876" spans="1:27" ht="17">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5653</v>
      </c>
    </row>
    <row r="877" spans="1:27" ht="17">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5653</v>
      </c>
    </row>
    <row r="878" spans="1:27" ht="17">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5653</v>
      </c>
    </row>
    <row r="879" spans="1:27" ht="17">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5653</v>
      </c>
    </row>
    <row r="880" spans="1:27" ht="26">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5653</v>
      </c>
    </row>
    <row r="881" spans="1:27" ht="39">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5653</v>
      </c>
    </row>
    <row r="882" spans="1:27" ht="17">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5653</v>
      </c>
    </row>
    <row r="883" spans="1:27" ht="17">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5653</v>
      </c>
    </row>
    <row r="884" spans="1:27" ht="17">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5653</v>
      </c>
    </row>
    <row r="885" spans="1:27" ht="17">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5653</v>
      </c>
    </row>
    <row r="886" spans="1:27" ht="17">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5653</v>
      </c>
    </row>
    <row r="887" spans="1:27" ht="17">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5653</v>
      </c>
    </row>
    <row r="888" spans="1:27" ht="1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5653</v>
      </c>
    </row>
    <row r="889" spans="1:27" ht="17">
      <c r="A889" s="2714"/>
      <c r="B889" s="371"/>
      <c r="C889" s="371" t="s">
        <v>2755</v>
      </c>
      <c r="D889" s="371"/>
      <c r="F889" s="294"/>
      <c r="G889" s="301"/>
      <c r="H889" s="315"/>
      <c r="I889" s="393"/>
      <c r="J889" s="291"/>
      <c r="K889" s="291"/>
      <c r="L889" s="291"/>
      <c r="M889" s="291"/>
      <c r="N889" s="291"/>
      <c r="O889" s="291"/>
      <c r="P889" s="291"/>
      <c r="S889" s="364"/>
      <c r="Z889" s="609" t="s">
        <v>475</v>
      </c>
      <c r="AA889" s="609" t="s">
        <v>5653</v>
      </c>
    </row>
    <row r="890" spans="1:27" ht="26">
      <c r="A890" s="2714" t="s">
        <v>482</v>
      </c>
      <c r="B890" s="371">
        <v>3</v>
      </c>
      <c r="C890" s="371"/>
      <c r="D890" s="2716" t="str">
        <f>VLOOKUP($A890,Sheet_NoteList,2,0)</f>
        <v>账龄超过1年的金额重要的预付账款</v>
      </c>
      <c r="E890" s="2716" t="s">
        <v>6533</v>
      </c>
      <c r="F890" s="294"/>
      <c r="G890" s="372" t="str">
        <f>"("&amp;B890&amp;")"&amp;D890</f>
        <v>(3)账龄超过1年的金额重要的预付账款</v>
      </c>
      <c r="H890" s="1517" t="str">
        <f>$A890</f>
        <v>1125d</v>
      </c>
      <c r="I890" s="343" t="s">
        <v>5546</v>
      </c>
      <c r="J890" s="301" t="s">
        <v>5545</v>
      </c>
      <c r="K890" s="2210">
        <f>H898</f>
        <v>0</v>
      </c>
      <c r="L890" s="1535" t="str">
        <f>IF($I890="适用",IF(ROUND(K858-K890,2)&gt;=0,IF(K858&lt;&gt;0,K890/K858,""),"#Logical!"),"#N/A")</f>
        <v/>
      </c>
      <c r="M890" s="301"/>
      <c r="N890" s="3084"/>
      <c r="O890" s="345" t="str">
        <f>IF(ROUND(N$858-N890,2)&gt;=0,"","#Logical!")</f>
        <v/>
      </c>
      <c r="P890" s="301"/>
      <c r="Q890" s="290" t="str">
        <f>IF($I890="不适用","",IF(ROUND(SUM($H$893:$J$898),2)=0,"请输入",""))</f>
        <v>请输入</v>
      </c>
      <c r="S890" s="364"/>
      <c r="Z890" s="609" t="s">
        <v>475</v>
      </c>
      <c r="AA890" s="609" t="s">
        <v>5653</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5653</v>
      </c>
    </row>
    <row r="892" spans="1:27" ht="26">
      <c r="A892" s="2714"/>
      <c r="B892" s="371"/>
      <c r="C892" s="371"/>
      <c r="D892" s="371"/>
      <c r="E892" s="2716" t="s">
        <v>2749</v>
      </c>
      <c r="F892" s="294"/>
      <c r="G892" s="1609" t="s">
        <v>1465</v>
      </c>
      <c r="H892" s="1607" t="s">
        <v>3086</v>
      </c>
      <c r="I892" s="1607" t="s">
        <v>2961</v>
      </c>
      <c r="J892" s="1608" t="s">
        <v>3112</v>
      </c>
      <c r="K892" s="355" t="s">
        <v>6177</v>
      </c>
      <c r="L892" s="291"/>
      <c r="M892" s="291"/>
      <c r="N892" s="291"/>
      <c r="S892" s="364"/>
      <c r="Z892" s="609" t="s">
        <v>475</v>
      </c>
      <c r="AA892" s="609" t="s">
        <v>5653</v>
      </c>
    </row>
    <row r="893" spans="1:27" ht="17">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5653</v>
      </c>
    </row>
    <row r="894" spans="1:27" ht="17">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5653</v>
      </c>
    </row>
    <row r="895" spans="1:27" ht="17">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5653</v>
      </c>
    </row>
    <row r="896" spans="1:27" ht="17">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5653</v>
      </c>
    </row>
    <row r="897" spans="1:27" ht="17">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5653</v>
      </c>
    </row>
    <row r="898" spans="1:27" ht="1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5653</v>
      </c>
    </row>
    <row r="899" spans="1:27" ht="17">
      <c r="A899" s="2714"/>
      <c r="B899" s="371"/>
      <c r="C899" s="371" t="s">
        <v>2755</v>
      </c>
      <c r="D899" s="371"/>
      <c r="F899" s="294"/>
      <c r="G899" s="301"/>
      <c r="H899" s="315"/>
      <c r="I899" s="393"/>
      <c r="J899" s="393"/>
      <c r="K899" s="291"/>
      <c r="L899" s="291"/>
      <c r="M899" s="291"/>
      <c r="N899" s="291"/>
      <c r="S899" s="364"/>
      <c r="Z899" s="609" t="s">
        <v>475</v>
      </c>
      <c r="AA899" s="609" t="s">
        <v>5653</v>
      </c>
    </row>
    <row r="900" spans="1:27" ht="17">
      <c r="A900" s="2714" t="s">
        <v>497</v>
      </c>
      <c r="B900" s="371">
        <v>4</v>
      </c>
      <c r="C900" s="371"/>
      <c r="D900" s="2716" t="str">
        <f>VLOOKUP($A900,Sheet_NoteList,2,0)</f>
        <v>预付款项按项目列示</v>
      </c>
      <c r="E900" s="2716" t="s">
        <v>6533</v>
      </c>
      <c r="F900" s="294"/>
      <c r="G900" s="372" t="str">
        <f>"("&amp;B900&amp;")"&amp;D900</f>
        <v>(4)预付款项按项目列示</v>
      </c>
      <c r="H900" s="1517" t="str">
        <f>$A900</f>
        <v>1125f</v>
      </c>
      <c r="I900" s="343" t="s">
        <v>5966</v>
      </c>
      <c r="J900" s="301" t="s">
        <v>5964</v>
      </c>
      <c r="K900" s="2210">
        <f>H908</f>
        <v>0</v>
      </c>
      <c r="L900" s="345"/>
      <c r="M900" s="301" t="s">
        <v>5971</v>
      </c>
      <c r="N900" s="2210">
        <f>I908</f>
        <v>0</v>
      </c>
      <c r="O900" s="345"/>
      <c r="P900" s="301"/>
      <c r="S900" s="364"/>
      <c r="Z900" s="609" t="s">
        <v>475</v>
      </c>
      <c r="AA900" s="609" t="s">
        <v>5653</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5653</v>
      </c>
    </row>
    <row r="902" spans="1:27" ht="17">
      <c r="A902" s="2714"/>
      <c r="B902" s="371"/>
      <c r="C902" s="371"/>
      <c r="D902" s="371"/>
      <c r="E902" s="586" t="s">
        <v>2749</v>
      </c>
      <c r="F902" s="363"/>
      <c r="G902" s="2272" t="s">
        <v>47</v>
      </c>
      <c r="H902" s="2270" t="s">
        <v>3086</v>
      </c>
      <c r="I902" s="2273" t="s">
        <v>3087</v>
      </c>
      <c r="J902" s="355" t="s">
        <v>6177</v>
      </c>
      <c r="K902" s="1604"/>
      <c r="L902" s="1604"/>
      <c r="M902" s="1604"/>
      <c r="N902" s="1604"/>
      <c r="O902" s="1604"/>
      <c r="P902" s="1604"/>
      <c r="Q902" s="1604"/>
      <c r="R902" s="1604"/>
      <c r="S902" s="364"/>
      <c r="Z902" s="609" t="s">
        <v>475</v>
      </c>
      <c r="AA902" s="609" t="s">
        <v>5653</v>
      </c>
    </row>
    <row r="903" spans="1:27" ht="17">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5653</v>
      </c>
    </row>
    <row r="904" spans="1:27" ht="17">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5653</v>
      </c>
    </row>
    <row r="905" spans="1:27" ht="17">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5653</v>
      </c>
    </row>
    <row r="906" spans="1:27" ht="17">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5653</v>
      </c>
    </row>
    <row r="907" spans="1:27" ht="17">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5653</v>
      </c>
    </row>
    <row r="908" spans="1:27" ht="1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5653</v>
      </c>
    </row>
    <row r="909" spans="1:27" ht="17">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5653</v>
      </c>
    </row>
    <row r="910" spans="1:27" ht="26">
      <c r="A910" s="2714" t="s">
        <v>492</v>
      </c>
      <c r="B910" s="371">
        <v>5</v>
      </c>
      <c r="C910" s="371"/>
      <c r="D910" s="2716" t="str">
        <f>VLOOKUP($A910,Sheet_NoteList,2,0)</f>
        <v>关联方应收应付款项——预付款项</v>
      </c>
      <c r="E910" s="2716" t="s">
        <v>6533</v>
      </c>
      <c r="F910" s="294"/>
      <c r="G910" s="372" t="str">
        <f>"("&amp;B910&amp;")"&amp;D910</f>
        <v>(5)关联方应收应付款项——预付款项</v>
      </c>
      <c r="H910" s="1517" t="str">
        <f>$A910</f>
        <v>1125e</v>
      </c>
      <c r="I910" s="343" t="s">
        <v>5609</v>
      </c>
      <c r="J910" s="301" t="s">
        <v>5607</v>
      </c>
      <c r="K910" s="2210">
        <f>H918</f>
        <v>0</v>
      </c>
      <c r="L910" s="345"/>
      <c r="M910" s="301" t="s">
        <v>5608</v>
      </c>
      <c r="N910" s="2210">
        <f>I918</f>
        <v>0</v>
      </c>
      <c r="O910" s="345"/>
      <c r="P910" s="301"/>
      <c r="Q910" s="290" t="str">
        <f>IF($I910="不适用","",IF(ROUND(SUM($H$913:$K$918),2)=0,"请输入",""))</f>
        <v>请输入</v>
      </c>
      <c r="S910" s="364"/>
      <c r="Z910" s="609" t="s">
        <v>475</v>
      </c>
      <c r="AA910" s="609" t="s">
        <v>5653</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5653</v>
      </c>
    </row>
    <row r="912" spans="1:27" ht="17">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5653</v>
      </c>
    </row>
    <row r="913" spans="1:27" ht="17">
      <c r="A913" s="2714"/>
      <c r="B913" s="371">
        <v>101</v>
      </c>
      <c r="C913" s="371" t="s">
        <v>2791</v>
      </c>
      <c r="D913" s="2716">
        <f t="shared" ref="D913:D918" si="77">IF(OR(G913="*",G913="",G913=0),0,COUNTIF($G$913:$G$918,G913))</f>
        <v>0</v>
      </c>
      <c r="E913" s="2721">
        <v>1</v>
      </c>
      <c r="F913" s="294"/>
      <c r="G913" s="2274" t="s">
        <v>2792</v>
      </c>
      <c r="H913" s="2275"/>
      <c r="I913" s="2296"/>
      <c r="J913" s="355" t="s">
        <v>5365</v>
      </c>
      <c r="K913" s="1522" t="s">
        <v>5606</v>
      </c>
      <c r="L913" s="291"/>
      <c r="O913" s="291"/>
      <c r="S913" s="364"/>
      <c r="Z913" s="609" t="s">
        <v>475</v>
      </c>
      <c r="AA913" s="609" t="s">
        <v>5653</v>
      </c>
    </row>
    <row r="914" spans="1:27" ht="17">
      <c r="A914" s="2714"/>
      <c r="B914" s="371">
        <v>102</v>
      </c>
      <c r="C914" s="371" t="s">
        <v>2791</v>
      </c>
      <c r="D914" s="2716">
        <f t="shared" si="77"/>
        <v>0</v>
      </c>
      <c r="E914" s="2721">
        <v>1</v>
      </c>
      <c r="F914" s="294"/>
      <c r="G914" s="2274" t="s">
        <v>2792</v>
      </c>
      <c r="H914" s="2275"/>
      <c r="I914" s="2296"/>
      <c r="J914" s="355" t="s">
        <v>6177</v>
      </c>
      <c r="K914" s="291"/>
      <c r="L914" s="291"/>
      <c r="O914" s="291"/>
      <c r="S914" s="364"/>
      <c r="Z914" s="609" t="s">
        <v>475</v>
      </c>
      <c r="AA914" s="609" t="s">
        <v>5653</v>
      </c>
    </row>
    <row r="915" spans="1:27" ht="17">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5653</v>
      </c>
    </row>
    <row r="916" spans="1:27" ht="17">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5653</v>
      </c>
    </row>
    <row r="917" spans="1:27" ht="17">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5653</v>
      </c>
    </row>
    <row r="918" spans="1:27" ht="1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5653</v>
      </c>
    </row>
    <row r="919" spans="1:27" ht="17">
      <c r="A919" s="2714"/>
      <c r="B919" s="371"/>
      <c r="C919" s="371" t="s">
        <v>2755</v>
      </c>
      <c r="D919" s="371"/>
      <c r="F919" s="294"/>
      <c r="G919" s="301"/>
      <c r="H919" s="315"/>
      <c r="I919" s="315"/>
      <c r="K919" s="293"/>
      <c r="L919" s="291"/>
      <c r="M919" s="291"/>
      <c r="N919" s="291"/>
      <c r="O919" s="291"/>
      <c r="S919" s="364"/>
      <c r="Z919" s="609" t="s">
        <v>475</v>
      </c>
      <c r="AA919" s="609" t="s">
        <v>5653</v>
      </c>
    </row>
    <row r="920" spans="1:27" ht="17">
      <c r="A920" s="2714" t="s">
        <v>505</v>
      </c>
      <c r="B920" s="371">
        <v>6</v>
      </c>
      <c r="C920" s="371"/>
      <c r="D920" s="2716" t="str">
        <f>VLOOKUP($A920,Sheet_NoteList,2,0)</f>
        <v>预付款项补充资料</v>
      </c>
      <c r="E920" s="2716" t="s">
        <v>6533</v>
      </c>
      <c r="F920" s="293"/>
      <c r="G920" s="372" t="str">
        <f>"("&amp;B920&amp;")"&amp;D920</f>
        <v>(6)预付款项补充资料</v>
      </c>
      <c r="H920" s="1517" t="str">
        <f>$A920</f>
        <v>1125x</v>
      </c>
      <c r="I920" s="343" t="s">
        <v>6037</v>
      </c>
      <c r="J920" s="301" t="s">
        <v>6038</v>
      </c>
      <c r="K920" s="2210">
        <f>H931</f>
        <v>0</v>
      </c>
      <c r="L920" s="349"/>
      <c r="M920" s="301" t="s">
        <v>6039</v>
      </c>
      <c r="N920" s="2210">
        <f>I931</f>
        <v>0</v>
      </c>
      <c r="O920" s="349"/>
      <c r="P920" s="301"/>
      <c r="S920" s="364"/>
      <c r="Z920" s="609" t="s">
        <v>475</v>
      </c>
      <c r="AA920" s="609" t="s">
        <v>5653</v>
      </c>
    </row>
    <row r="921" spans="1:27" ht="0.75" customHeight="1" thickBot="1">
      <c r="A921" s="2714"/>
      <c r="B921" s="371"/>
      <c r="C921" s="371"/>
      <c r="D921" s="2716"/>
      <c r="E921" s="586"/>
      <c r="F921" s="586"/>
      <c r="G921" s="2224" t="s">
        <v>3119</v>
      </c>
      <c r="H921" s="371" t="s">
        <v>6195</v>
      </c>
      <c r="I921" s="371" t="s">
        <v>6196</v>
      </c>
      <c r="J921" s="371" t="s">
        <v>6197</v>
      </c>
      <c r="K921" s="547" t="s">
        <v>6198</v>
      </c>
      <c r="L921" s="547" t="s">
        <v>6199</v>
      </c>
      <c r="M921" s="371" t="s">
        <v>6200</v>
      </c>
      <c r="N921" s="547" t="s">
        <v>6201</v>
      </c>
      <c r="O921" s="547" t="s">
        <v>6202</v>
      </c>
      <c r="P921" s="371" t="s">
        <v>6203</v>
      </c>
      <c r="S921" s="364"/>
      <c r="Z921" s="609" t="s">
        <v>475</v>
      </c>
      <c r="AA921" s="609" t="s">
        <v>5653</v>
      </c>
    </row>
    <row r="922" spans="1:27" ht="17">
      <c r="A922" s="2714"/>
      <c r="B922" s="371"/>
      <c r="C922" s="371"/>
      <c r="D922" s="2716"/>
      <c r="E922" s="586" t="s">
        <v>2749</v>
      </c>
      <c r="F922" s="414"/>
      <c r="G922" s="2302" t="s">
        <v>47</v>
      </c>
      <c r="H922" s="2360" t="s">
        <v>2560</v>
      </c>
      <c r="I922" s="2300" t="s">
        <v>6040</v>
      </c>
      <c r="J922" s="2300" t="s">
        <v>2544</v>
      </c>
      <c r="K922" s="1643" t="s">
        <v>6041</v>
      </c>
      <c r="L922" s="1643" t="s">
        <v>6042</v>
      </c>
      <c r="M922" s="2300" t="s">
        <v>2549</v>
      </c>
      <c r="N922" s="1643" t="s">
        <v>6043</v>
      </c>
      <c r="O922" s="1643" t="s">
        <v>6044</v>
      </c>
      <c r="P922" s="2301" t="s">
        <v>3277</v>
      </c>
      <c r="Q922" s="355" t="s">
        <v>6177</v>
      </c>
      <c r="S922" s="364"/>
      <c r="Z922" s="609" t="s">
        <v>475</v>
      </c>
      <c r="AA922" s="609" t="s">
        <v>5653</v>
      </c>
    </row>
    <row r="923" spans="1:27" ht="17">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5653</v>
      </c>
    </row>
    <row r="924" spans="1:27" ht="17">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5653</v>
      </c>
    </row>
    <row r="925" spans="1:27" ht="17">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5653</v>
      </c>
    </row>
    <row r="926" spans="1:27" ht="17">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5653</v>
      </c>
    </row>
    <row r="927" spans="1:27" ht="17">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5653</v>
      </c>
    </row>
    <row r="928" spans="1:27" ht="17">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5653</v>
      </c>
    </row>
    <row r="929" spans="1:27" ht="17">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5653</v>
      </c>
    </row>
    <row r="930" spans="1:27" ht="17">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5653</v>
      </c>
    </row>
    <row r="931" spans="1:27" ht="1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5653</v>
      </c>
    </row>
    <row r="932" spans="1:27" ht="17">
      <c r="A932" s="2714"/>
      <c r="B932" s="371"/>
      <c r="C932" s="371" t="s">
        <v>2755</v>
      </c>
      <c r="D932" s="2716"/>
      <c r="F932" s="293"/>
      <c r="G932" s="376"/>
      <c r="H932" s="1576"/>
      <c r="I932" s="396"/>
      <c r="J932" s="315"/>
      <c r="K932" s="392"/>
      <c r="L932" s="393"/>
      <c r="M932" s="315"/>
      <c r="N932" s="392"/>
      <c r="O932" s="393"/>
      <c r="P932" s="315"/>
      <c r="S932" s="364"/>
      <c r="Z932" s="609" t="s">
        <v>475</v>
      </c>
      <c r="AA932" s="609" t="s">
        <v>5653</v>
      </c>
    </row>
    <row r="933" spans="1:27" ht="17">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0</v>
      </c>
      <c r="O933" s="342"/>
      <c r="P933" s="301"/>
      <c r="S933" s="364"/>
      <c r="Z933" s="609" t="s">
        <v>512</v>
      </c>
      <c r="AA933" s="609" t="s">
        <v>19</v>
      </c>
    </row>
    <row r="934" spans="1:27" ht="17">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26.5" thickTop="1">
      <c r="A936" s="2714"/>
      <c r="B936" s="371"/>
      <c r="C936" s="371"/>
      <c r="D936" s="2716"/>
      <c r="E936" s="2716" t="s">
        <v>2749</v>
      </c>
      <c r="F936" s="371"/>
      <c r="G936" s="373" t="s">
        <v>47</v>
      </c>
      <c r="H936" s="2475" t="str">
        <f>$V$2</f>
        <v>2019年12月31日</v>
      </c>
      <c r="I936" s="2480" t="str">
        <f>$V$3</f>
        <v>2018年12月31日</v>
      </c>
      <c r="J936" s="355" t="s">
        <v>5274</v>
      </c>
      <c r="K936" s="1530" t="str">
        <f>""&amp;"&gt;本期:"&amp;""</f>
        <v>&gt;本期:</v>
      </c>
      <c r="L936" s="1530" t="str">
        <f>""&amp;"&gt;上期:"&amp;""</f>
        <v>&gt;上期:</v>
      </c>
      <c r="M936" s="301"/>
      <c r="N936" s="391"/>
      <c r="O936" s="349"/>
      <c r="P936" s="301"/>
      <c r="S936" s="364"/>
      <c r="Z936" s="609" t="s">
        <v>512</v>
      </c>
      <c r="AA936" s="609" t="s">
        <v>19</v>
      </c>
    </row>
    <row r="937" spans="1:27" ht="17">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7">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7">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7">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7">
      <c r="A942" s="2714"/>
      <c r="B942" s="371"/>
      <c r="C942" s="371" t="s">
        <v>2755</v>
      </c>
      <c r="D942" s="2716"/>
      <c r="F942" s="371"/>
      <c r="G942" s="376"/>
      <c r="H942" s="315"/>
      <c r="I942" s="396"/>
      <c r="J942" s="301"/>
      <c r="K942" s="1539" t="s">
        <v>5496</v>
      </c>
      <c r="L942" s="317"/>
      <c r="M942" s="301"/>
      <c r="N942" s="391"/>
      <c r="O942" s="349"/>
      <c r="P942" s="301"/>
      <c r="S942" s="364"/>
      <c r="Z942" s="609" t="s">
        <v>512</v>
      </c>
      <c r="AA942" s="609" t="s">
        <v>19</v>
      </c>
    </row>
    <row r="943" spans="1:27" ht="17">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5655</v>
      </c>
    </row>
    <row r="944" spans="1:27" ht="17">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5655</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5655</v>
      </c>
    </row>
    <row r="946" spans="1:29" ht="26">
      <c r="A946" s="2714"/>
      <c r="B946" s="371"/>
      <c r="C946" s="371"/>
      <c r="D946" s="371"/>
      <c r="E946" s="586" t="s">
        <v>2749</v>
      </c>
      <c r="F946" s="363"/>
      <c r="G946" s="2228" t="s">
        <v>47</v>
      </c>
      <c r="H946" s="2225" t="str">
        <f>$V$2</f>
        <v>2019年12月31日</v>
      </c>
      <c r="I946" s="2226" t="str">
        <f>$V$3</f>
        <v>2018年12月31日</v>
      </c>
      <c r="J946" s="355" t="s">
        <v>5274</v>
      </c>
      <c r="K946" s="478"/>
      <c r="L946" s="516"/>
      <c r="M946" s="472"/>
      <c r="N946" s="472"/>
      <c r="O946" s="472"/>
      <c r="P946" s="442"/>
      <c r="Q946" s="442"/>
      <c r="R946" s="443"/>
      <c r="S946" s="364"/>
      <c r="Z946" s="609" t="s">
        <v>518</v>
      </c>
      <c r="AA946" s="609" t="s">
        <v>5655</v>
      </c>
    </row>
    <row r="947" spans="1:29" ht="17">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5655</v>
      </c>
    </row>
    <row r="948" spans="1:29" ht="17">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5655</v>
      </c>
    </row>
    <row r="949" spans="1:29" ht="17">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5655</v>
      </c>
    </row>
    <row r="950" spans="1:29" ht="17">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5655</v>
      </c>
    </row>
    <row r="951" spans="1:29" ht="17">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5655</v>
      </c>
    </row>
    <row r="952" spans="1:29" ht="17">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5655</v>
      </c>
    </row>
    <row r="953" spans="1:29" ht="17">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5655</v>
      </c>
    </row>
    <row r="954" spans="1:29" ht="1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5655</v>
      </c>
      <c r="AC954" s="369" t="s">
        <v>2794</v>
      </c>
    </row>
    <row r="955" spans="1:29" ht="17">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5655</v>
      </c>
    </row>
    <row r="956" spans="1:29" ht="26">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4"/>
      <c r="O956" s="315"/>
      <c r="P956" s="301"/>
      <c r="Q956" s="290" t="str">
        <f>IF($I956="不适用","",IF(ROUND(SUM($H$959:$K$964),2)=0,"请输入",""))</f>
        <v>请输入</v>
      </c>
      <c r="S956" s="364"/>
      <c r="Z956" s="609" t="s">
        <v>518</v>
      </c>
      <c r="AA956" s="609" t="s">
        <v>5655</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5655</v>
      </c>
    </row>
    <row r="958" spans="1:29" ht="26">
      <c r="A958" s="2714"/>
      <c r="B958" s="371"/>
      <c r="C958" s="371"/>
      <c r="D958" s="371"/>
      <c r="E958" s="586" t="s">
        <v>2749</v>
      </c>
      <c r="F958" s="363"/>
      <c r="G958" s="2228" t="s">
        <v>1545</v>
      </c>
      <c r="H958" s="2282" t="str">
        <f>$W$2&amp;"余额"</f>
        <v>2019年12月31日余额</v>
      </c>
      <c r="I958" s="2282" t="s">
        <v>3129</v>
      </c>
      <c r="J958" s="2282" t="s">
        <v>3130</v>
      </c>
      <c r="K958" s="2546" t="s">
        <v>6128</v>
      </c>
      <c r="L958" s="355" t="s">
        <v>5274</v>
      </c>
      <c r="M958" s="291"/>
      <c r="S958" s="364"/>
      <c r="Z958" s="609" t="s">
        <v>518</v>
      </c>
      <c r="AA958" s="609" t="s">
        <v>5655</v>
      </c>
    </row>
    <row r="959" spans="1:29" ht="17">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5655</v>
      </c>
    </row>
    <row r="960" spans="1:29" ht="17">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5655</v>
      </c>
    </row>
    <row r="961" spans="1:29" ht="17">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5655</v>
      </c>
    </row>
    <row r="962" spans="1:29" ht="17">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5655</v>
      </c>
    </row>
    <row r="963" spans="1:29" ht="17">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5655</v>
      </c>
    </row>
    <row r="964" spans="1:29" ht="1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5655</v>
      </c>
    </row>
    <row r="965" spans="1:29" ht="17">
      <c r="A965" s="2714"/>
      <c r="B965" s="371"/>
      <c r="C965" s="371" t="s">
        <v>2755</v>
      </c>
      <c r="D965" s="2716"/>
      <c r="E965" s="2721"/>
      <c r="F965" s="294"/>
      <c r="G965" s="301"/>
      <c r="H965" s="315"/>
      <c r="I965" s="393"/>
      <c r="J965" s="393"/>
      <c r="K965" s="393"/>
      <c r="L965" s="291"/>
      <c r="M965" s="291"/>
      <c r="S965" s="364"/>
      <c r="Z965" s="609" t="s">
        <v>518</v>
      </c>
      <c r="AA965" s="609" t="s">
        <v>5655</v>
      </c>
    </row>
    <row r="966" spans="1:29" ht="17">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5656</v>
      </c>
    </row>
    <row r="967" spans="1:29" ht="17">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5656</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5656</v>
      </c>
    </row>
    <row r="969" spans="1:29" ht="26">
      <c r="A969" s="2714"/>
      <c r="B969" s="371"/>
      <c r="C969" s="371"/>
      <c r="D969" s="371"/>
      <c r="E969" s="586" t="s">
        <v>2749</v>
      </c>
      <c r="F969" s="363"/>
      <c r="G969" s="2228" t="s">
        <v>5143</v>
      </c>
      <c r="H969" s="2225" t="str">
        <f>$V$2</f>
        <v>2019年12月31日</v>
      </c>
      <c r="I969" s="2226" t="str">
        <f>$V$3</f>
        <v>2018年12月31日</v>
      </c>
      <c r="J969" s="355" t="s">
        <v>5274</v>
      </c>
      <c r="K969" s="520"/>
      <c r="L969" s="472"/>
      <c r="M969" s="472"/>
      <c r="N969" s="472"/>
      <c r="O969" s="472"/>
      <c r="P969" s="442"/>
      <c r="Q969" s="442"/>
      <c r="R969" s="443"/>
      <c r="S969" s="364"/>
      <c r="Z969" s="609" t="s">
        <v>528</v>
      </c>
      <c r="AA969" s="609" t="s">
        <v>5656</v>
      </c>
    </row>
    <row r="970" spans="1:29" ht="17">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5656</v>
      </c>
    </row>
    <row r="971" spans="1:29" ht="17">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5656</v>
      </c>
    </row>
    <row r="972" spans="1:29" ht="17">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5656</v>
      </c>
    </row>
    <row r="973" spans="1:29" ht="17">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5656</v>
      </c>
    </row>
    <row r="974" spans="1:29" ht="17">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5656</v>
      </c>
    </row>
    <row r="975" spans="1:29" ht="1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5656</v>
      </c>
      <c r="AC975" s="369" t="s">
        <v>2794</v>
      </c>
    </row>
    <row r="976" spans="1:29" ht="17">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5656</v>
      </c>
    </row>
    <row r="977" spans="1:27" ht="26">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5656</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5656</v>
      </c>
    </row>
    <row r="979" spans="1:27" ht="26">
      <c r="A979" s="2714"/>
      <c r="B979" s="371"/>
      <c r="C979" s="371"/>
      <c r="D979" s="371"/>
      <c r="E979" s="586" t="s">
        <v>2749</v>
      </c>
      <c r="F979" s="363"/>
      <c r="G979" s="2228" t="s">
        <v>5143</v>
      </c>
      <c r="H979" s="2475" t="str">
        <f>$V$2</f>
        <v>2019年12月31日</v>
      </c>
      <c r="I979" s="2282" t="s">
        <v>2961</v>
      </c>
      <c r="J979" s="2282" t="s">
        <v>3135</v>
      </c>
      <c r="K979" s="417" t="s">
        <v>3136</v>
      </c>
      <c r="L979" s="355" t="s">
        <v>5274</v>
      </c>
      <c r="N979" s="291"/>
      <c r="O979" s="291"/>
      <c r="S979" s="364"/>
      <c r="Z979" s="609" t="s">
        <v>528</v>
      </c>
      <c r="AA979" s="609" t="s">
        <v>5656</v>
      </c>
    </row>
    <row r="980" spans="1:27" ht="17">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5656</v>
      </c>
    </row>
    <row r="981" spans="1:27" ht="17">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5656</v>
      </c>
    </row>
    <row r="982" spans="1:27" ht="17">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5656</v>
      </c>
    </row>
    <row r="983" spans="1:27" ht="17">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5656</v>
      </c>
    </row>
    <row r="984" spans="1:27" ht="17">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5656</v>
      </c>
    </row>
    <row r="985" spans="1:27" ht="1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5656</v>
      </c>
    </row>
    <row r="986" spans="1:27" ht="17">
      <c r="A986" s="2714"/>
      <c r="B986" s="371"/>
      <c r="C986" s="371" t="s">
        <v>2755</v>
      </c>
      <c r="D986" s="371"/>
      <c r="F986" s="294"/>
      <c r="G986" s="301"/>
      <c r="H986" s="315"/>
      <c r="I986" s="393"/>
      <c r="J986" s="393"/>
      <c r="K986" s="393"/>
      <c r="L986" s="350"/>
      <c r="M986" s="350"/>
      <c r="N986" s="291"/>
      <c r="O986" s="291"/>
      <c r="S986" s="364"/>
      <c r="Z986" s="609" t="s">
        <v>528</v>
      </c>
      <c r="AA986" s="609" t="s">
        <v>5656</v>
      </c>
    </row>
    <row r="987" spans="1:27" ht="17">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0</v>
      </c>
      <c r="O987" s="306"/>
      <c r="P987" s="301"/>
      <c r="S987" s="364"/>
      <c r="Z987" s="609" t="s">
        <v>540</v>
      </c>
      <c r="AA987" s="609" t="s">
        <v>3137</v>
      </c>
    </row>
    <row r="988" spans="1:27" ht="17">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t="str">
        <f>IF($I988="适用",IF(ROUND(N$987-N988,2)=0,"F/S",ROUND(N$987-N988,2)),"#N/A")</f>
        <v>F/S</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26">
      <c r="A990" s="2714"/>
      <c r="B990" s="371"/>
      <c r="C990" s="371"/>
      <c r="D990" s="2716"/>
      <c r="E990" s="586" t="s">
        <v>2749</v>
      </c>
      <c r="F990" s="414"/>
      <c r="G990" s="2289" t="s">
        <v>5137</v>
      </c>
      <c r="H990" s="2232" t="str">
        <f>$V$2</f>
        <v>2019年12月31日</v>
      </c>
      <c r="I990" s="2233" t="str">
        <f>$V$3</f>
        <v>2018年12月31日</v>
      </c>
      <c r="J990" s="355" t="s">
        <v>5274</v>
      </c>
      <c r="K990" s="434"/>
      <c r="L990" s="434"/>
      <c r="M990" s="435"/>
      <c r="N990" s="434"/>
      <c r="O990" s="434"/>
      <c r="P990" s="435"/>
      <c r="Q990" s="442"/>
      <c r="R990" s="443"/>
      <c r="S990" s="364"/>
      <c r="Z990" s="609" t="s">
        <v>540</v>
      </c>
      <c r="AA990" s="609" t="s">
        <v>3137</v>
      </c>
    </row>
    <row r="991" spans="1:27" ht="17">
      <c r="A991" s="2714"/>
      <c r="B991" s="371">
        <v>101</v>
      </c>
      <c r="C991" s="371"/>
      <c r="D991" s="2716">
        <f t="shared" ref="D991:D1004" si="85">IF(OR(G991="*",G991="",G991=0),0,COUNTIF($G$991:$G$1004,G991))</f>
        <v>1</v>
      </c>
      <c r="E991" s="2721" t="s">
        <v>6536</v>
      </c>
      <c r="F991" s="293"/>
      <c r="G991" s="1474" t="s">
        <v>2938</v>
      </c>
      <c r="H991" s="2275"/>
      <c r="I991" s="2296"/>
      <c r="J991" s="438"/>
      <c r="K991" s="439"/>
      <c r="L991" s="437"/>
      <c r="M991" s="438"/>
      <c r="N991" s="439"/>
      <c r="O991" s="437"/>
      <c r="P991" s="438"/>
      <c r="Q991" s="442"/>
      <c r="R991" s="443"/>
      <c r="S991" s="364"/>
      <c r="Z991" s="609" t="s">
        <v>540</v>
      </c>
      <c r="AA991" s="609" t="s">
        <v>3137</v>
      </c>
    </row>
    <row r="992" spans="1:27" ht="17">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7">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7">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7">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7">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7">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7">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7">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7">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7">
      <c r="A1001" s="2714"/>
      <c r="B1001" s="371">
        <v>102.005</v>
      </c>
      <c r="C1001" s="371" t="s">
        <v>6534</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7">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7">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7.5" thickTop="1">
      <c r="A1006" s="2714"/>
      <c r="B1006" s="371"/>
      <c r="C1006" s="371" t="s">
        <v>2565</v>
      </c>
      <c r="D1006" s="2716"/>
      <c r="F1006" s="293"/>
      <c r="G1006" s="1549" t="s">
        <v>5368</v>
      </c>
      <c r="H1006" s="1550" t="str">
        <f>G1013</f>
        <v>(2)其他应收款按款项性质分类情况</v>
      </c>
      <c r="I1006" s="1552"/>
      <c r="J1006" s="1553" t="s">
        <v>5369</v>
      </c>
      <c r="K1006" s="426"/>
      <c r="L1006" s="427"/>
      <c r="M1006" s="425"/>
      <c r="N1006" s="426"/>
      <c r="O1006" s="427"/>
      <c r="P1006" s="425"/>
      <c r="Q1006" s="442"/>
      <c r="R1006" s="442"/>
      <c r="S1006" s="364"/>
      <c r="Z1006" s="609" t="s">
        <v>540</v>
      </c>
      <c r="AA1006" s="609" t="s">
        <v>3137</v>
      </c>
    </row>
    <row r="1007" spans="1:29" ht="17">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7">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7">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7">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6">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5407</v>
      </c>
      <c r="I1014" s="371" t="s">
        <v>5408</v>
      </c>
      <c r="J1014" s="472"/>
      <c r="K1014" s="472"/>
      <c r="L1014" s="472"/>
      <c r="M1014" s="472"/>
      <c r="N1014" s="442"/>
      <c r="O1014" s="442"/>
      <c r="P1014" s="442"/>
      <c r="Q1014" s="442"/>
      <c r="R1014" s="443"/>
      <c r="S1014" s="364"/>
      <c r="Z1014" s="609" t="s">
        <v>540</v>
      </c>
      <c r="AA1014" s="609" t="s">
        <v>3137</v>
      </c>
    </row>
    <row r="1015" spans="1:29" ht="26">
      <c r="A1015" s="2714"/>
      <c r="B1015" s="371"/>
      <c r="C1015" s="371"/>
      <c r="D1015" s="371"/>
      <c r="E1015" s="586" t="s">
        <v>2749</v>
      </c>
      <c r="F1015" s="363"/>
      <c r="G1015" s="2537" t="s">
        <v>5486</v>
      </c>
      <c r="H1015" s="2553" t="str">
        <f>$V$2</f>
        <v>2019年12月31日</v>
      </c>
      <c r="I1015" s="2554" t="str">
        <f>$V$3</f>
        <v>2018年12月31日</v>
      </c>
      <c r="J1015" s="355" t="s">
        <v>5274</v>
      </c>
      <c r="K1015" s="442"/>
      <c r="L1015" s="442"/>
      <c r="M1015" s="442"/>
      <c r="N1015" s="442"/>
      <c r="O1015" s="442"/>
      <c r="P1015" s="442"/>
      <c r="Q1015" s="442"/>
      <c r="R1015" s="443"/>
      <c r="S1015" s="364"/>
      <c r="Z1015" s="609" t="s">
        <v>540</v>
      </c>
      <c r="AA1015" s="609" t="s">
        <v>3137</v>
      </c>
    </row>
    <row r="1016" spans="1:29" ht="17">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7">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7">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7">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7">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7">
      <c r="A1021" s="2714"/>
      <c r="B1021" s="371">
        <v>101.005</v>
      </c>
      <c r="C1021" s="371" t="s">
        <v>6534</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7">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7">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7">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7">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9">
      <c r="A1027" s="2714">
        <v>122100</v>
      </c>
      <c r="B1027" s="371" t="s">
        <v>6538</v>
      </c>
      <c r="C1027" s="371"/>
      <c r="D1027" s="2716" t="str">
        <f>VLOOKUP($A1027,Sheet_NoteList,2,0)</f>
        <v>其他应收款按坏账计提方法分类披露（三阶段模型）</v>
      </c>
      <c r="E1027" s="2716" t="s">
        <v>6533</v>
      </c>
      <c r="F1027" s="293"/>
      <c r="G1027" s="372" t="str">
        <f>"("&amp;B1027&amp;")"&amp;D1027</f>
        <v>(3A)其他应收款按坏账计提方法分类披露（三阶段模型）</v>
      </c>
      <c r="H1027" s="2315">
        <f>$A1027</f>
        <v>122100</v>
      </c>
      <c r="I1027" s="343" t="s">
        <v>5924</v>
      </c>
      <c r="J1027" s="301" t="s">
        <v>5925</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5926</v>
      </c>
      <c r="H1028" s="1617" t="s">
        <v>5389</v>
      </c>
      <c r="I1028" s="371" t="s">
        <v>5927</v>
      </c>
      <c r="J1028" s="371" t="s">
        <v>5933</v>
      </c>
      <c r="K1028" s="391"/>
      <c r="L1028" s="349"/>
      <c r="M1028" s="301"/>
      <c r="N1028" s="391"/>
      <c r="O1028" s="349"/>
      <c r="P1028" s="301"/>
      <c r="S1028" s="364"/>
      <c r="Z1028" s="609" t="s">
        <v>540</v>
      </c>
      <c r="AA1028" s="609" t="s">
        <v>3137</v>
      </c>
    </row>
    <row r="1029" spans="1:29" ht="17.5" thickTop="1">
      <c r="A1029" s="2714"/>
      <c r="B1029" s="371"/>
      <c r="C1029" s="371"/>
      <c r="D1029" s="2716"/>
      <c r="E1029" s="586" t="s">
        <v>2749</v>
      </c>
      <c r="F1029" s="414"/>
      <c r="G1029" s="2289" t="s">
        <v>5931</v>
      </c>
      <c r="H1029" s="2310" t="s">
        <v>5130</v>
      </c>
      <c r="I1029" s="2310" t="s">
        <v>5131</v>
      </c>
      <c r="J1029" s="2293" t="s">
        <v>2863</v>
      </c>
      <c r="K1029" s="355" t="s">
        <v>5274</v>
      </c>
      <c r="L1029" s="1530" t="str">
        <f>""&amp;H1029&amp;""</f>
        <v>账面余额</v>
      </c>
      <c r="M1029" s="1530" t="str">
        <f>""&amp;I1029&amp;""</f>
        <v>坏账准备</v>
      </c>
      <c r="N1029" s="1530" t="str">
        <f>J1029</f>
        <v>账面价值</v>
      </c>
      <c r="O1029" s="349"/>
      <c r="P1029" s="301"/>
      <c r="S1029" s="364"/>
      <c r="Z1029" s="609" t="s">
        <v>540</v>
      </c>
      <c r="AA1029" s="609" t="s">
        <v>3137</v>
      </c>
    </row>
    <row r="1030" spans="1:29" ht="17">
      <c r="A1030" s="2714"/>
      <c r="B1030" s="371">
        <v>101</v>
      </c>
      <c r="C1030" s="371"/>
      <c r="D1030" s="2716">
        <f t="shared" ref="D1030:D1034" si="87">IF(OR(G1030="*",G1030="",G1030=0),0,COUNTIF($G$1030:$G$1034,G1030))</f>
        <v>1</v>
      </c>
      <c r="E1030" s="2721">
        <v>1</v>
      </c>
      <c r="F1030" s="293"/>
      <c r="G1030" s="1474" t="s">
        <v>5928</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7">
      <c r="A1031" s="2714"/>
      <c r="B1031" s="371">
        <v>102</v>
      </c>
      <c r="C1031" s="371"/>
      <c r="D1031" s="2716">
        <f t="shared" si="87"/>
        <v>1</v>
      </c>
      <c r="E1031" s="2721">
        <v>1</v>
      </c>
      <c r="F1031" s="293"/>
      <c r="G1031" s="1474" t="s">
        <v>5929</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7">
      <c r="A1032" s="2714"/>
      <c r="B1032" s="371">
        <v>103</v>
      </c>
      <c r="C1032" s="371"/>
      <c r="D1032" s="2716">
        <f t="shared" si="87"/>
        <v>1</v>
      </c>
      <c r="E1032" s="2721">
        <v>1</v>
      </c>
      <c r="F1032" s="293"/>
      <c r="G1032" s="1474" t="s">
        <v>5930</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7">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7.5" thickBot="1">
      <c r="A1035" s="2714"/>
      <c r="B1035" s="371"/>
      <c r="C1035" s="371" t="s">
        <v>2755</v>
      </c>
      <c r="D1035" s="2716"/>
      <c r="F1035" s="293"/>
      <c r="G1035" s="376"/>
      <c r="H1035" s="2626" t="s">
        <v>3002</v>
      </c>
      <c r="I1035" s="2253" t="s">
        <v>3002</v>
      </c>
      <c r="J1035" s="527" t="s">
        <v>3002</v>
      </c>
      <c r="K1035" s="391"/>
      <c r="L1035" s="1539" t="s">
        <v>5496</v>
      </c>
      <c r="M1035" s="354"/>
      <c r="N1035" s="317"/>
      <c r="O1035" s="349"/>
      <c r="P1035" s="301"/>
      <c r="S1035" s="364"/>
      <c r="Z1035" s="609" t="s">
        <v>540</v>
      </c>
      <c r="AA1035" s="609" t="s">
        <v>3137</v>
      </c>
    </row>
    <row r="1036" spans="1:29" ht="17.5" thickTop="1">
      <c r="A1036" s="2714"/>
      <c r="B1036" s="371"/>
      <c r="C1036" s="371" t="s">
        <v>2565</v>
      </c>
      <c r="D1036" s="2716"/>
      <c r="F1036" s="293"/>
      <c r="G1036" s="1549" t="s">
        <v>5368</v>
      </c>
      <c r="H1036" s="1550" t="str">
        <f>G988</f>
        <v>(1)其他应收款按账龄披露</v>
      </c>
      <c r="I1036" s="1552"/>
      <c r="J1036" s="1552"/>
      <c r="K1036" s="1553" t="s">
        <v>6357</v>
      </c>
      <c r="L1036" s="349"/>
      <c r="M1036" s="301"/>
      <c r="N1036" s="391"/>
      <c r="O1036" s="349"/>
      <c r="P1036" s="301"/>
      <c r="S1036" s="364"/>
      <c r="Z1036" s="609" t="s">
        <v>540</v>
      </c>
      <c r="AA1036" s="609" t="s">
        <v>3137</v>
      </c>
    </row>
    <row r="1037" spans="1:29" ht="17">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7">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7">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7">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9">
      <c r="A1043" s="2714">
        <v>122101</v>
      </c>
      <c r="B1043" s="371" t="s">
        <v>6539</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6204</v>
      </c>
      <c r="H1044" s="371" t="s">
        <v>2747</v>
      </c>
      <c r="I1044" s="371" t="s">
        <v>2947</v>
      </c>
      <c r="J1044" s="371" t="s">
        <v>6205</v>
      </c>
      <c r="K1044" s="547" t="s">
        <v>6206</v>
      </c>
      <c r="L1044" s="547" t="s">
        <v>3145</v>
      </c>
      <c r="M1044" s="433"/>
      <c r="N1044" s="428"/>
      <c r="O1044" s="428"/>
      <c r="P1044" s="433"/>
      <c r="Q1044" s="442"/>
      <c r="R1044" s="443"/>
      <c r="S1044" s="364"/>
      <c r="Z1044" s="609" t="s">
        <v>540</v>
      </c>
      <c r="AA1044" s="609" t="s">
        <v>3137</v>
      </c>
    </row>
    <row r="1045" spans="1:29" ht="39">
      <c r="A1045" s="2714"/>
      <c r="B1045" s="371"/>
      <c r="C1045" s="371"/>
      <c r="D1045" s="2716"/>
      <c r="E1045" s="586" t="s">
        <v>2749</v>
      </c>
      <c r="F1045" s="414"/>
      <c r="G1045" s="2289" t="s">
        <v>5135</v>
      </c>
      <c r="H1045" s="2543" t="s">
        <v>6129</v>
      </c>
      <c r="I1045" s="2291" t="s">
        <v>3146</v>
      </c>
      <c r="J1045" s="2291" t="s">
        <v>2862</v>
      </c>
      <c r="K1045" s="2311" t="s">
        <v>2863</v>
      </c>
      <c r="L1045" s="2312" t="s">
        <v>3147</v>
      </c>
      <c r="M1045" s="355" t="s">
        <v>5274</v>
      </c>
      <c r="N1045" s="434"/>
      <c r="O1045" s="434"/>
      <c r="P1045" s="435"/>
      <c r="Q1045" s="442"/>
      <c r="R1045" s="443"/>
      <c r="S1045" s="364"/>
      <c r="Z1045" s="609" t="s">
        <v>540</v>
      </c>
      <c r="AA1045" s="609" t="s">
        <v>3137</v>
      </c>
    </row>
    <row r="1046" spans="1:29" ht="17">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6575</v>
      </c>
    </row>
    <row r="1047" spans="1:29" ht="17">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6137</v>
      </c>
      <c r="O1047" s="437"/>
      <c r="P1047" s="438"/>
      <c r="Q1047" s="442"/>
      <c r="R1047" s="443"/>
      <c r="S1047" s="364"/>
      <c r="Z1047" s="609" t="s">
        <v>540</v>
      </c>
      <c r="AA1047" s="609" t="s">
        <v>3137</v>
      </c>
    </row>
    <row r="1048" spans="1:29" ht="17">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7">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7">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7">
      <c r="A1051" s="2714"/>
      <c r="B1051" s="371">
        <v>106</v>
      </c>
      <c r="C1051" s="371" t="s">
        <v>2791</v>
      </c>
      <c r="D1051" s="2716">
        <f t="shared" si="90"/>
        <v>1</v>
      </c>
      <c r="E1051" s="2721">
        <v>0</v>
      </c>
      <c r="F1051" s="293"/>
      <c r="G1051" s="2284" t="s">
        <v>5946</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6575</v>
      </c>
    </row>
    <row r="1052" spans="1:29" ht="17">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7">
      <c r="A1053" s="2714"/>
      <c r="B1053" s="371">
        <v>108</v>
      </c>
      <c r="C1053" s="371" t="s">
        <v>6534</v>
      </c>
      <c r="D1053" s="2716">
        <f t="shared" si="90"/>
        <v>1</v>
      </c>
      <c r="E1053" s="2721">
        <v>0</v>
      </c>
      <c r="F1053" s="293"/>
      <c r="G1053" s="2284" t="s">
        <v>5947</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7">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6575</v>
      </c>
    </row>
    <row r="1056" spans="1:29" ht="17">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9">
      <c r="A1057" s="2714">
        <v>122111</v>
      </c>
      <c r="B1057" s="371" t="s">
        <v>6540</v>
      </c>
      <c r="C1057" s="371"/>
      <c r="D1057" s="2716" t="str">
        <f>VLOOKUP($A1057,Sheet_NoteList,2,0)</f>
        <v>期末按单项计提坏账准备的其他应收款（第一阶段）</v>
      </c>
      <c r="E1057" s="2716" t="s">
        <v>6533</v>
      </c>
      <c r="F1057" s="293"/>
      <c r="G1057" s="372" t="str">
        <f>"("&amp;B1057&amp;")"&amp;D1057</f>
        <v>(3A1.1)期末按单项计提坏账准备的其他应收款（第一阶段）</v>
      </c>
      <c r="H1057" s="2315">
        <f>$A1057</f>
        <v>122111</v>
      </c>
      <c r="I1057" s="343" t="s">
        <v>5470</v>
      </c>
      <c r="J1057" s="301" t="s">
        <v>5471</v>
      </c>
      <c r="K1057" s="2210">
        <f>H1070</f>
        <v>0</v>
      </c>
      <c r="L1057" s="349" t="str">
        <f>IF($I1057="适用",IF(ROUND(K$987-K1057,2)=0,"F/S",ROUND(K$987-K1057,2)),"#N/A")</f>
        <v>F/S</v>
      </c>
      <c r="M1057" s="301" t="s">
        <v>5472</v>
      </c>
      <c r="N1057" s="2210">
        <f>I1070</f>
        <v>0</v>
      </c>
      <c r="O1057" s="349" t="str">
        <f>IF($I1057="适用",IF(ROUND(N$987-N1057,2)=0,"F/S",ROUND(N$987-N1057,2)),"#N/A")</f>
        <v>F/S</v>
      </c>
      <c r="P1057" s="301"/>
      <c r="S1057" s="364"/>
      <c r="Z1057" s="609" t="s">
        <v>540</v>
      </c>
      <c r="AA1057" s="609" t="s">
        <v>3137</v>
      </c>
    </row>
    <row r="1058" spans="1:27" ht="0.75" customHeight="1">
      <c r="A1058" s="2714"/>
      <c r="B1058" s="371"/>
      <c r="C1058" s="371"/>
      <c r="D1058" s="2716"/>
      <c r="E1058" s="586"/>
      <c r="F1058" s="586"/>
      <c r="G1058" s="2224" t="s">
        <v>6323</v>
      </c>
      <c r="H1058" s="371" t="s">
        <v>6324</v>
      </c>
      <c r="I1058" s="371" t="s">
        <v>6325</v>
      </c>
      <c r="J1058" s="371" t="s">
        <v>6326</v>
      </c>
      <c r="K1058" s="371" t="s">
        <v>6327</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6328</v>
      </c>
      <c r="I1059" s="371" t="s">
        <v>6329</v>
      </c>
      <c r="J1059" s="371" t="s">
        <v>6330</v>
      </c>
      <c r="K1059" s="371" t="s">
        <v>6331</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145" t="s">
        <v>5136</v>
      </c>
      <c r="H1060" s="3153" t="str">
        <f>$V$2</f>
        <v>2019年12月31日</v>
      </c>
      <c r="I1060" s="3154"/>
      <c r="J1060" s="3154"/>
      <c r="K1060" s="3154"/>
      <c r="L1060" s="355" t="s">
        <v>5274</v>
      </c>
      <c r="M1060" s="433"/>
      <c r="N1060" s="428"/>
      <c r="O1060" s="428"/>
      <c r="P1060" s="433"/>
      <c r="Q1060" s="442"/>
      <c r="R1060" s="443"/>
      <c r="S1060" s="364"/>
      <c r="Z1060" s="609" t="s">
        <v>540</v>
      </c>
      <c r="AA1060" s="609" t="s">
        <v>3137</v>
      </c>
    </row>
    <row r="1061" spans="1:27" ht="17">
      <c r="A1061" s="2714"/>
      <c r="B1061" s="371"/>
      <c r="C1061" s="371"/>
      <c r="D1061" s="2716"/>
      <c r="E1061" s="586" t="s">
        <v>2749</v>
      </c>
      <c r="F1061" s="414"/>
      <c r="G1061" s="3146"/>
      <c r="H1061" s="2545" t="s">
        <v>6129</v>
      </c>
      <c r="I1061" s="2294" t="s">
        <v>2862</v>
      </c>
      <c r="J1061" s="2294" t="s">
        <v>3001</v>
      </c>
      <c r="K1061" s="2240" t="s">
        <v>2899</v>
      </c>
      <c r="L1061" s="434"/>
      <c r="M1061" s="1511"/>
      <c r="N1061" s="434"/>
      <c r="O1061" s="434"/>
      <c r="P1061" s="1511"/>
      <c r="Q1061" s="442"/>
      <c r="R1061" s="443"/>
      <c r="S1061" s="364"/>
      <c r="Z1061" s="609" t="s">
        <v>540</v>
      </c>
      <c r="AA1061" s="609" t="s">
        <v>3137</v>
      </c>
    </row>
    <row r="1062" spans="1:27" ht="17">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7">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7">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7">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7">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7">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7">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7">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7.5" thickTop="1">
      <c r="A1072" s="2714"/>
      <c r="B1072" s="371"/>
      <c r="C1072" s="371" t="s">
        <v>2565</v>
      </c>
      <c r="D1072" s="2716"/>
      <c r="F1072" s="293"/>
      <c r="G1072" s="1549" t="s">
        <v>5368</v>
      </c>
      <c r="H1072" s="1550" t="str">
        <f>G1043</f>
        <v>(3A1)期末处于第一阶段的其他应收款坏账准备（三阶段模型）</v>
      </c>
      <c r="I1072" s="1552"/>
      <c r="J1072" s="1551"/>
      <c r="K1072" s="1551"/>
      <c r="L1072" s="1553" t="s">
        <v>5369</v>
      </c>
      <c r="M1072" s="425"/>
      <c r="N1072" s="426"/>
      <c r="O1072" s="427"/>
      <c r="P1072" s="425"/>
      <c r="Q1072" s="442"/>
      <c r="R1072" s="442"/>
      <c r="S1072" s="364"/>
      <c r="Z1072" s="609" t="s">
        <v>540</v>
      </c>
      <c r="AA1072" s="609" t="s">
        <v>3137</v>
      </c>
    </row>
    <row r="1073" spans="1:27" ht="17">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7">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7">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7">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9">
      <c r="A1079" s="2714">
        <v>122112</v>
      </c>
      <c r="B1079" s="371" t="s">
        <v>6541</v>
      </c>
      <c r="C1079" s="371"/>
      <c r="D1079" s="2716" t="str">
        <f>VLOOKUP($A1079,Sheet_NoteList,2,0)</f>
        <v>期末按组合1计提坏账准备的其他应收款（第一阶段）</v>
      </c>
      <c r="E1079" s="2716" t="s">
        <v>6535</v>
      </c>
      <c r="F1079" s="293"/>
      <c r="G1079" s="372" t="str">
        <f>"("&amp;B1079&amp;")"&amp;D1079</f>
        <v>(3A1.2)期末按组合1计提坏账准备的其他应收款（第一阶段）</v>
      </c>
      <c r="H1079" s="2315">
        <f>$A1079</f>
        <v>122112</v>
      </c>
      <c r="I1079" s="343" t="s">
        <v>5124</v>
      </c>
      <c r="J1079" s="301" t="s">
        <v>5547</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5907</v>
      </c>
      <c r="H1080" s="371" t="s">
        <v>5389</v>
      </c>
      <c r="I1080" s="371" t="s">
        <v>5531</v>
      </c>
      <c r="J1080" s="371" t="s">
        <v>5403</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5473</v>
      </c>
      <c r="I1081" s="371" t="s">
        <v>5378</v>
      </c>
      <c r="J1081" s="371" t="s">
        <v>5379</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145" t="s">
        <v>5137</v>
      </c>
      <c r="H1082" s="3153" t="str">
        <f>$V$2</f>
        <v>2019年12月31日</v>
      </c>
      <c r="I1082" s="3154"/>
      <c r="J1082" s="3154"/>
      <c r="K1082" s="355" t="s">
        <v>5274</v>
      </c>
      <c r="L1082" s="349"/>
      <c r="M1082" s="301"/>
      <c r="N1082" s="391"/>
      <c r="O1082" s="349"/>
      <c r="P1082" s="301"/>
      <c r="S1082" s="364"/>
      <c r="Z1082" s="609" t="s">
        <v>540</v>
      </c>
      <c r="AA1082" s="609" t="s">
        <v>3137</v>
      </c>
    </row>
    <row r="1083" spans="1:27" ht="17">
      <c r="A1083" s="2714"/>
      <c r="B1083" s="371"/>
      <c r="C1083" s="371"/>
      <c r="D1083" s="2716"/>
      <c r="E1083" s="586" t="s">
        <v>2749</v>
      </c>
      <c r="F1083" s="414"/>
      <c r="G1083" s="3146"/>
      <c r="H1083" s="2294" t="s">
        <v>2861</v>
      </c>
      <c r="I1083" s="2294" t="s">
        <v>2862</v>
      </c>
      <c r="J1083" s="2240" t="s">
        <v>2889</v>
      </c>
      <c r="K1083" s="391"/>
      <c r="L1083" s="349"/>
      <c r="M1083" s="301"/>
      <c r="N1083" s="391"/>
      <c r="O1083" s="349"/>
      <c r="P1083" s="301"/>
      <c r="S1083" s="364"/>
      <c r="Z1083" s="609" t="s">
        <v>540</v>
      </c>
      <c r="AA1083" s="609" t="s">
        <v>3137</v>
      </c>
    </row>
    <row r="1084" spans="1:27" ht="17">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7">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7">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7">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7">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7">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7">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7">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7.5" thickTop="1">
      <c r="A1094" s="2714"/>
      <c r="B1094" s="371"/>
      <c r="C1094" s="371" t="s">
        <v>2565</v>
      </c>
      <c r="D1094" s="2716"/>
      <c r="F1094" s="293"/>
      <c r="G1094" s="1549" t="s">
        <v>5368</v>
      </c>
      <c r="H1094" s="1550" t="str">
        <f>G1043</f>
        <v>(3A1)期末处于第一阶段的其他应收款坏账准备（三阶段模型）</v>
      </c>
      <c r="I1094" s="1552"/>
      <c r="J1094" s="1551"/>
      <c r="K1094" s="1553" t="s">
        <v>5369</v>
      </c>
      <c r="L1094" s="349"/>
      <c r="M1094" s="301"/>
      <c r="N1094" s="391"/>
      <c r="O1094" s="349"/>
      <c r="P1094" s="301"/>
      <c r="S1094" s="364"/>
      <c r="Z1094" s="609" t="s">
        <v>540</v>
      </c>
      <c r="AA1094" s="609" t="s">
        <v>3137</v>
      </c>
    </row>
    <row r="1095" spans="1:27" ht="17">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7">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7">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7">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9">
      <c r="A1101" s="2714">
        <v>122113</v>
      </c>
      <c r="B1101" s="371" t="s">
        <v>6542</v>
      </c>
      <c r="C1101" s="371"/>
      <c r="D1101" s="2716" t="str">
        <f>VLOOKUP($A1101,Sheet_NoteList,2,0)</f>
        <v>期末按组合2计提坏账准备的其他应收款（第一阶段）</v>
      </c>
      <c r="E1101" s="2716" t="s">
        <v>6535</v>
      </c>
      <c r="F1101" s="293"/>
      <c r="G1101" s="372" t="str">
        <f>"("&amp;B1101&amp;")"&amp;D1101</f>
        <v>(3A1.3)期末按组合2计提坏账准备的其他应收款（第一阶段）</v>
      </c>
      <c r="H1101" s="2315">
        <f>$A1101</f>
        <v>122113</v>
      </c>
      <c r="I1101" s="343" t="s">
        <v>5548</v>
      </c>
      <c r="J1101" s="301" t="s">
        <v>5549</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5908</v>
      </c>
      <c r="H1102" s="371" t="s">
        <v>5389</v>
      </c>
      <c r="I1102" s="371" t="s">
        <v>5531</v>
      </c>
      <c r="J1102" s="371" t="s">
        <v>5403</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5550</v>
      </c>
      <c r="I1103" s="371" t="s">
        <v>5551</v>
      </c>
      <c r="J1103" s="371" t="s">
        <v>5552</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147" t="s">
        <v>5949</v>
      </c>
      <c r="H1104" s="3155" t="str">
        <f>$V$2</f>
        <v>2019年12月31日</v>
      </c>
      <c r="I1104" s="3156"/>
      <c r="J1104" s="3156"/>
      <c r="K1104" s="355" t="s">
        <v>5950</v>
      </c>
      <c r="L1104" s="349"/>
      <c r="M1104" s="301"/>
      <c r="N1104" s="391"/>
      <c r="O1104" s="349"/>
      <c r="P1104" s="301"/>
      <c r="S1104" s="364"/>
      <c r="Z1104" s="609" t="s">
        <v>540</v>
      </c>
      <c r="AA1104" s="609" t="s">
        <v>3137</v>
      </c>
    </row>
    <row r="1105" spans="1:27" ht="17">
      <c r="A1105" s="2714"/>
      <c r="B1105" s="371"/>
      <c r="C1105" s="371"/>
      <c r="D1105" s="2716"/>
      <c r="E1105" s="2716" t="s">
        <v>2749</v>
      </c>
      <c r="F1105" s="293"/>
      <c r="G1105" s="3148"/>
      <c r="H1105" s="2207" t="s">
        <v>2861</v>
      </c>
      <c r="I1105" s="2207" t="s">
        <v>2862</v>
      </c>
      <c r="J1105" s="2208" t="s">
        <v>2889</v>
      </c>
      <c r="K1105" s="355" t="s">
        <v>6177</v>
      </c>
      <c r="L1105" s="349"/>
      <c r="M1105" s="301"/>
      <c r="N1105" s="391"/>
      <c r="O1105" s="349"/>
      <c r="P1105" s="301"/>
      <c r="S1105" s="364"/>
      <c r="Z1105" s="609" t="s">
        <v>540</v>
      </c>
      <c r="AA1105" s="609" t="s">
        <v>3137</v>
      </c>
    </row>
    <row r="1106" spans="1:27" ht="17">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7">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7">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7">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7">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7">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7">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7">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7">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9">
      <c r="A1116" s="2714">
        <v>122114</v>
      </c>
      <c r="B1116" s="371" t="s">
        <v>6543</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6207</v>
      </c>
      <c r="H1117" s="371" t="s">
        <v>6208</v>
      </c>
      <c r="I1117" s="371" t="s">
        <v>6209</v>
      </c>
      <c r="J1117" s="371" t="s">
        <v>6210</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6211</v>
      </c>
      <c r="I1118" s="371" t="s">
        <v>6212</v>
      </c>
      <c r="J1118" s="371" t="s">
        <v>6213</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147" t="s">
        <v>5949</v>
      </c>
      <c r="H1119" s="3155" t="str">
        <f>$V$2</f>
        <v>2019年12月31日</v>
      </c>
      <c r="I1119" s="3156"/>
      <c r="J1119" s="3156"/>
      <c r="K1119" s="355" t="s">
        <v>5950</v>
      </c>
      <c r="L1119" s="428"/>
      <c r="M1119" s="433"/>
      <c r="N1119" s="428"/>
      <c r="O1119" s="428"/>
      <c r="P1119" s="433"/>
      <c r="Q1119" s="442"/>
      <c r="R1119" s="443"/>
      <c r="S1119" s="364"/>
      <c r="Z1119" s="609" t="s">
        <v>540</v>
      </c>
      <c r="AA1119" s="609" t="s">
        <v>3137</v>
      </c>
    </row>
    <row r="1120" spans="1:27" ht="17">
      <c r="A1120" s="2714"/>
      <c r="B1120" s="371"/>
      <c r="C1120" s="371"/>
      <c r="D1120" s="2716"/>
      <c r="E1120" s="2716" t="s">
        <v>2749</v>
      </c>
      <c r="F1120" s="293"/>
      <c r="G1120" s="3148"/>
      <c r="H1120" s="2207" t="s">
        <v>2861</v>
      </c>
      <c r="I1120" s="2207" t="s">
        <v>2862</v>
      </c>
      <c r="J1120" s="2208" t="s">
        <v>2889</v>
      </c>
      <c r="K1120" s="355" t="s">
        <v>6177</v>
      </c>
      <c r="L1120" s="434"/>
      <c r="M1120" s="435"/>
      <c r="N1120" s="434"/>
      <c r="O1120" s="434"/>
      <c r="P1120" s="435"/>
      <c r="Q1120" s="442"/>
      <c r="R1120" s="443"/>
      <c r="S1120" s="364"/>
      <c r="Z1120" s="609" t="s">
        <v>540</v>
      </c>
      <c r="AA1120" s="609" t="s">
        <v>3137</v>
      </c>
    </row>
    <row r="1121" spans="1:29" ht="17">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7">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7">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7">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7">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7">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7">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7">
      <c r="A1128" s="2714"/>
      <c r="B1128" s="371">
        <v>108</v>
      </c>
      <c r="C1128" s="371" t="s">
        <v>6534</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7.5" thickBot="1">
      <c r="A1129" s="2714"/>
      <c r="B1129" s="371"/>
      <c r="C1129" s="371"/>
      <c r="D1129" s="2716">
        <f t="shared" si="96"/>
        <v>1</v>
      </c>
      <c r="E1129" s="2721" t="s">
        <v>2751</v>
      </c>
      <c r="F1129" s="293"/>
      <c r="G1129" s="1529" t="s">
        <v>5948</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7">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9">
      <c r="A1131" s="2714">
        <v>122102</v>
      </c>
      <c r="B1131" s="371" t="s">
        <v>6544</v>
      </c>
      <c r="C1131" s="371"/>
      <c r="D1131" s="2716" t="str">
        <f>VLOOKUP($A1131,Sheet_NoteList,2,0)</f>
        <v>期末处于第二阶段的其他应收款坏账准备（三阶段模型）</v>
      </c>
      <c r="E1131" s="2716" t="s">
        <v>6533</v>
      </c>
      <c r="F1131" s="293"/>
      <c r="G1131" s="372" t="str">
        <f>"("&amp;B1131&amp;")"&amp;D1131</f>
        <v>(3A2)期末处于第二阶段的其他应收款坏账准备（三阶段模型）</v>
      </c>
      <c r="H1131" s="2315">
        <f>$A1131</f>
        <v>122102</v>
      </c>
      <c r="I1131" s="343" t="s">
        <v>5138</v>
      </c>
      <c r="J1131" s="301" t="s">
        <v>5362</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5932</v>
      </c>
      <c r="H1132" s="371" t="s">
        <v>5389</v>
      </c>
      <c r="I1132" s="371" t="s">
        <v>5392</v>
      </c>
      <c r="J1132" s="371" t="s">
        <v>5927</v>
      </c>
      <c r="K1132" s="547" t="s">
        <v>5933</v>
      </c>
      <c r="L1132" s="547" t="s">
        <v>5934</v>
      </c>
      <c r="M1132" s="301"/>
      <c r="N1132" s="391"/>
      <c r="O1132" s="349"/>
      <c r="P1132" s="301"/>
      <c r="S1132" s="364"/>
      <c r="Z1132" s="609" t="s">
        <v>540</v>
      </c>
      <c r="AA1132" s="609" t="s">
        <v>3137</v>
      </c>
    </row>
    <row r="1133" spans="1:29" ht="39">
      <c r="A1133" s="2714"/>
      <c r="B1133" s="371"/>
      <c r="C1133" s="371"/>
      <c r="D1133" s="2716"/>
      <c r="E1133" s="586" t="s">
        <v>2749</v>
      </c>
      <c r="F1133" s="414"/>
      <c r="G1133" s="2289" t="s">
        <v>5135</v>
      </c>
      <c r="H1133" s="2291" t="s">
        <v>2861</v>
      </c>
      <c r="I1133" s="2291" t="s">
        <v>6003</v>
      </c>
      <c r="J1133" s="2291" t="s">
        <v>2862</v>
      </c>
      <c r="K1133" s="2311" t="s">
        <v>2863</v>
      </c>
      <c r="L1133" s="2312" t="s">
        <v>3147</v>
      </c>
      <c r="M1133" s="355" t="s">
        <v>5274</v>
      </c>
      <c r="N1133" s="391"/>
      <c r="O1133" s="349"/>
      <c r="P1133" s="301"/>
      <c r="S1133" s="364"/>
      <c r="Z1133" s="609" t="s">
        <v>540</v>
      </c>
      <c r="AA1133" s="609" t="s">
        <v>3137</v>
      </c>
    </row>
    <row r="1134" spans="1:29" ht="17">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6575</v>
      </c>
    </row>
    <row r="1135" spans="1:29" ht="17">
      <c r="A1135" s="2714"/>
      <c r="B1135" s="371">
        <v>102</v>
      </c>
      <c r="C1135" s="371" t="s">
        <v>2791</v>
      </c>
      <c r="D1135" s="2716">
        <f t="shared" si="97"/>
        <v>0</v>
      </c>
      <c r="E1135" s="2721">
        <v>0</v>
      </c>
      <c r="F1135" s="293"/>
      <c r="G1135" s="2284" t="s">
        <v>2792</v>
      </c>
      <c r="H1135" s="2275"/>
      <c r="I1135" s="2298"/>
      <c r="J1135" s="2275"/>
      <c r="K1135" s="1476">
        <f t="shared" si="98"/>
        <v>0</v>
      </c>
      <c r="L1135" s="2276"/>
      <c r="M1135" s="355" t="s">
        <v>6137</v>
      </c>
      <c r="N1135" s="391"/>
      <c r="O1135" s="349"/>
      <c r="P1135" s="301"/>
      <c r="S1135" s="364"/>
      <c r="Z1135" s="609" t="s">
        <v>540</v>
      </c>
      <c r="AA1135" s="609" t="s">
        <v>3137</v>
      </c>
    </row>
    <row r="1136" spans="1:29" ht="17">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7">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7">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7">
      <c r="A1139" s="2714"/>
      <c r="B1139" s="371">
        <v>106</v>
      </c>
      <c r="C1139" s="371" t="s">
        <v>2791</v>
      </c>
      <c r="D1139" s="2716">
        <f t="shared" si="97"/>
        <v>1</v>
      </c>
      <c r="E1139" s="2721">
        <v>0</v>
      </c>
      <c r="F1139" s="293"/>
      <c r="G1139" s="2284" t="s">
        <v>5946</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6575</v>
      </c>
    </row>
    <row r="1140" spans="1:29" ht="17">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7">
      <c r="A1141" s="2714"/>
      <c r="B1141" s="371">
        <v>108</v>
      </c>
      <c r="C1141" s="371" t="s">
        <v>6534</v>
      </c>
      <c r="D1141" s="2716">
        <f t="shared" si="97"/>
        <v>1</v>
      </c>
      <c r="E1141" s="2721">
        <v>0</v>
      </c>
      <c r="F1141" s="293"/>
      <c r="G1141" s="2284" t="s">
        <v>5947</v>
      </c>
      <c r="H1141" s="2275"/>
      <c r="I1141" s="2298"/>
      <c r="J1141" s="2275"/>
      <c r="K1141" s="1476">
        <f t="shared" ref="K1141" si="99">H1141-J1141</f>
        <v>0</v>
      </c>
      <c r="L1141" s="2276"/>
      <c r="M1141" s="301"/>
      <c r="N1141" s="391"/>
      <c r="O1141" s="349"/>
      <c r="P1141" s="301"/>
      <c r="S1141" s="364"/>
      <c r="Z1141" s="609" t="s">
        <v>540</v>
      </c>
      <c r="AA1141" s="609" t="s">
        <v>3137</v>
      </c>
    </row>
    <row r="1142" spans="1:29" ht="17">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6575</v>
      </c>
    </row>
    <row r="1144" spans="1:29" ht="17">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9">
      <c r="A1145" s="2714">
        <v>122121</v>
      </c>
      <c r="B1145" s="371" t="s">
        <v>6545</v>
      </c>
      <c r="C1145" s="371"/>
      <c r="D1145" s="2716" t="str">
        <f>VLOOKUP($A1145,Sheet_NoteList,2,0)</f>
        <v>期末按单项计提坏账准备的其他应收款（第二阶段）</v>
      </c>
      <c r="E1145" s="2716" t="s">
        <v>6533</v>
      </c>
      <c r="F1145" s="293"/>
      <c r="G1145" s="372" t="str">
        <f>"("&amp;B1145&amp;")"&amp;D1145</f>
        <v>(3A2.1)期末按单项计提坏账准备的其他应收款（第二阶段）</v>
      </c>
      <c r="H1145" s="2315">
        <f>$A1145</f>
        <v>122121</v>
      </c>
      <c r="I1145" s="343" t="s">
        <v>5935</v>
      </c>
      <c r="J1145" s="301" t="s">
        <v>5936</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5938</v>
      </c>
      <c r="H1146" s="371" t="s">
        <v>5475</v>
      </c>
      <c r="I1146" s="371" t="s">
        <v>5476</v>
      </c>
      <c r="J1146" s="371" t="s">
        <v>5477</v>
      </c>
      <c r="K1146" s="371" t="s">
        <v>5478</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5473</v>
      </c>
      <c r="I1147" s="371" t="s">
        <v>5378</v>
      </c>
      <c r="J1147" s="371" t="s">
        <v>5474</v>
      </c>
      <c r="K1147" s="371" t="s">
        <v>5388</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145" t="s">
        <v>5136</v>
      </c>
      <c r="H1148" s="3153" t="str">
        <f>$V$2</f>
        <v>2019年12月31日</v>
      </c>
      <c r="I1148" s="3154"/>
      <c r="J1148" s="3154"/>
      <c r="K1148" s="3154"/>
      <c r="L1148" s="355" t="s">
        <v>5274</v>
      </c>
      <c r="M1148" s="301"/>
      <c r="N1148" s="391"/>
      <c r="O1148" s="349"/>
      <c r="P1148" s="301"/>
      <c r="S1148" s="364"/>
      <c r="Z1148" s="609" t="s">
        <v>540</v>
      </c>
      <c r="AA1148" s="609" t="s">
        <v>3137</v>
      </c>
    </row>
    <row r="1149" spans="1:29" ht="17">
      <c r="A1149" s="2714"/>
      <c r="B1149" s="371"/>
      <c r="C1149" s="371"/>
      <c r="D1149" s="2716"/>
      <c r="E1149" s="586" t="s">
        <v>2749</v>
      </c>
      <c r="F1149" s="414"/>
      <c r="G1149" s="3146"/>
      <c r="H1149" s="2294" t="s">
        <v>2861</v>
      </c>
      <c r="I1149" s="2294" t="s">
        <v>2862</v>
      </c>
      <c r="J1149" s="2294" t="s">
        <v>3001</v>
      </c>
      <c r="K1149" s="2240" t="s">
        <v>2899</v>
      </c>
      <c r="L1149" s="349"/>
      <c r="M1149" s="301"/>
      <c r="N1149" s="391"/>
      <c r="O1149" s="349"/>
      <c r="P1149" s="301"/>
      <c r="S1149" s="364"/>
      <c r="Z1149" s="609" t="s">
        <v>540</v>
      </c>
      <c r="AA1149" s="609" t="s">
        <v>3137</v>
      </c>
    </row>
    <row r="1150" spans="1:29" ht="17">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7">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7">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7">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7">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7">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7">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7">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7.5" thickTop="1">
      <c r="A1160" s="2714"/>
      <c r="B1160" s="371"/>
      <c r="C1160" s="371" t="s">
        <v>2565</v>
      </c>
      <c r="D1160" s="2716"/>
      <c r="F1160" s="293"/>
      <c r="G1160" s="1549" t="s">
        <v>5368</v>
      </c>
      <c r="H1160" s="1550" t="str">
        <f>G1131</f>
        <v>(3A2)期末处于第二阶段的其他应收款坏账准备（三阶段模型）</v>
      </c>
      <c r="I1160" s="1552"/>
      <c r="J1160" s="1551"/>
      <c r="K1160" s="1551"/>
      <c r="L1160" s="1553" t="s">
        <v>5369</v>
      </c>
      <c r="M1160" s="301"/>
      <c r="N1160" s="391"/>
      <c r="O1160" s="349"/>
      <c r="P1160" s="301"/>
      <c r="S1160" s="364"/>
      <c r="Z1160" s="609" t="s">
        <v>540</v>
      </c>
      <c r="AA1160" s="609" t="s">
        <v>3137</v>
      </c>
    </row>
    <row r="1161" spans="1:27" ht="17">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7">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7">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7">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9">
      <c r="A1167" s="2714">
        <v>122122</v>
      </c>
      <c r="B1167" s="371" t="s">
        <v>6546</v>
      </c>
      <c r="C1167" s="371"/>
      <c r="D1167" s="2716" t="str">
        <f>VLOOKUP($A1167,Sheet_NoteList,2,0)</f>
        <v>期末按组合1计提坏账准备的其他应收款（第二阶段）</v>
      </c>
      <c r="E1167" s="2716" t="s">
        <v>6535</v>
      </c>
      <c r="F1167" s="293"/>
      <c r="G1167" s="372" t="str">
        <f>"("&amp;B1167&amp;")"&amp;D1167</f>
        <v>(3A2.2)期末按组合1计提坏账准备的其他应收款（第二阶段）</v>
      </c>
      <c r="H1167" s="2315">
        <f>$A1167</f>
        <v>122122</v>
      </c>
      <c r="I1167" s="343" t="s">
        <v>5935</v>
      </c>
      <c r="J1167" s="301" t="s">
        <v>5936</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5939</v>
      </c>
      <c r="H1168" s="371" t="s">
        <v>5389</v>
      </c>
      <c r="I1168" s="371" t="s">
        <v>5531</v>
      </c>
      <c r="J1168" s="371" t="s">
        <v>5403</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5473</v>
      </c>
      <c r="I1169" s="371" t="s">
        <v>5378</v>
      </c>
      <c r="J1169" s="371" t="s">
        <v>5379</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145" t="s">
        <v>5137</v>
      </c>
      <c r="H1170" s="3153" t="str">
        <f>$V$2</f>
        <v>2019年12月31日</v>
      </c>
      <c r="I1170" s="3154"/>
      <c r="J1170" s="3154"/>
      <c r="K1170" s="355" t="s">
        <v>5274</v>
      </c>
      <c r="L1170" s="349"/>
      <c r="M1170" s="301"/>
      <c r="N1170" s="391"/>
      <c r="O1170" s="349"/>
      <c r="P1170" s="301"/>
      <c r="S1170" s="364"/>
      <c r="Z1170" s="609" t="s">
        <v>540</v>
      </c>
      <c r="AA1170" s="609" t="s">
        <v>3137</v>
      </c>
    </row>
    <row r="1171" spans="1:27" ht="17">
      <c r="A1171" s="2714"/>
      <c r="B1171" s="371"/>
      <c r="C1171" s="371"/>
      <c r="D1171" s="2716"/>
      <c r="E1171" s="586" t="s">
        <v>2749</v>
      </c>
      <c r="F1171" s="414"/>
      <c r="G1171" s="3146"/>
      <c r="H1171" s="2294" t="s">
        <v>2861</v>
      </c>
      <c r="I1171" s="2294" t="s">
        <v>2862</v>
      </c>
      <c r="J1171" s="2240" t="s">
        <v>2889</v>
      </c>
      <c r="K1171" s="391"/>
      <c r="L1171" s="349"/>
      <c r="M1171" s="301"/>
      <c r="N1171" s="391"/>
      <c r="O1171" s="349"/>
      <c r="P1171" s="301"/>
      <c r="S1171" s="364"/>
      <c r="Z1171" s="609" t="s">
        <v>540</v>
      </c>
      <c r="AA1171" s="609" t="s">
        <v>3137</v>
      </c>
    </row>
    <row r="1172" spans="1:27" ht="17">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7">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7">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7">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7">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7">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7">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7">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7.5" thickTop="1">
      <c r="A1182" s="2714"/>
      <c r="B1182" s="371"/>
      <c r="C1182" s="371" t="s">
        <v>2565</v>
      </c>
      <c r="D1182" s="2716"/>
      <c r="F1182" s="293"/>
      <c r="G1182" s="1549" t="s">
        <v>5368</v>
      </c>
      <c r="H1182" s="1550" t="str">
        <f>G1131</f>
        <v>(3A2)期末处于第二阶段的其他应收款坏账准备（三阶段模型）</v>
      </c>
      <c r="I1182" s="1552"/>
      <c r="J1182" s="1551"/>
      <c r="K1182" s="1553" t="s">
        <v>5369</v>
      </c>
      <c r="L1182" s="349"/>
      <c r="M1182" s="301"/>
      <c r="N1182" s="391"/>
      <c r="O1182" s="349"/>
      <c r="P1182" s="301"/>
      <c r="S1182" s="364"/>
      <c r="Z1182" s="609" t="s">
        <v>540</v>
      </c>
      <c r="AA1182" s="609" t="s">
        <v>3137</v>
      </c>
    </row>
    <row r="1183" spans="1:27" ht="17">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7">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7">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7">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9">
      <c r="A1189" s="2714">
        <v>122123</v>
      </c>
      <c r="B1189" s="371" t="s">
        <v>6547</v>
      </c>
      <c r="C1189" s="371"/>
      <c r="D1189" s="2716" t="str">
        <f>VLOOKUP($A1189,Sheet_NoteList,2,0)</f>
        <v>期末按组合2计提坏账准备的其他应收款（第二阶段）</v>
      </c>
      <c r="E1189" s="2716" t="s">
        <v>6535</v>
      </c>
      <c r="F1189" s="293"/>
      <c r="G1189" s="372" t="str">
        <f>"("&amp;B1189&amp;")"&amp;D1189</f>
        <v>(3A2.3)期末按组合2计提坏账准备的其他应收款（第二阶段）</v>
      </c>
      <c r="H1189" s="2315">
        <f>$A1189</f>
        <v>122123</v>
      </c>
      <c r="I1189" s="343" t="s">
        <v>5935</v>
      </c>
      <c r="J1189" s="301" t="s">
        <v>5936</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5940</v>
      </c>
      <c r="H1190" s="371" t="s">
        <v>5389</v>
      </c>
      <c r="I1190" s="371" t="s">
        <v>5531</v>
      </c>
      <c r="J1190" s="371" t="s">
        <v>5403</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5473</v>
      </c>
      <c r="I1191" s="371" t="s">
        <v>5378</v>
      </c>
      <c r="J1191" s="371" t="s">
        <v>5379</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147" t="s">
        <v>5949</v>
      </c>
      <c r="H1192" s="3155" t="str">
        <f>$V$2</f>
        <v>2019年12月31日</v>
      </c>
      <c r="I1192" s="3156"/>
      <c r="J1192" s="3156"/>
      <c r="K1192" s="355" t="s">
        <v>5950</v>
      </c>
      <c r="L1192" s="349"/>
      <c r="M1192" s="301"/>
      <c r="N1192" s="391"/>
      <c r="O1192" s="349"/>
      <c r="P1192" s="301"/>
      <c r="S1192" s="364"/>
      <c r="Z1192" s="609" t="s">
        <v>540</v>
      </c>
      <c r="AA1192" s="609" t="s">
        <v>3137</v>
      </c>
    </row>
    <row r="1193" spans="1:27" ht="17">
      <c r="A1193" s="2714"/>
      <c r="B1193" s="371"/>
      <c r="C1193" s="371"/>
      <c r="D1193" s="2716"/>
      <c r="E1193" s="2716" t="s">
        <v>2749</v>
      </c>
      <c r="F1193" s="293"/>
      <c r="G1193" s="3148"/>
      <c r="H1193" s="2207" t="s">
        <v>2861</v>
      </c>
      <c r="I1193" s="2207" t="s">
        <v>2862</v>
      </c>
      <c r="J1193" s="2208" t="s">
        <v>2889</v>
      </c>
      <c r="K1193" s="391"/>
      <c r="L1193" s="349"/>
      <c r="M1193" s="301"/>
      <c r="N1193" s="391"/>
      <c r="O1193" s="349"/>
      <c r="P1193" s="301"/>
      <c r="S1193" s="364"/>
      <c r="Z1193" s="609" t="s">
        <v>540</v>
      </c>
      <c r="AA1193" s="609" t="s">
        <v>3137</v>
      </c>
    </row>
    <row r="1194" spans="1:27" ht="17">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7">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7">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7">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7">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7">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7">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7">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7">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9">
      <c r="A1204" s="2714">
        <v>122124</v>
      </c>
      <c r="B1204" s="371" t="s">
        <v>6548</v>
      </c>
      <c r="C1204" s="371"/>
      <c r="D1204" s="2716" t="str">
        <f>VLOOKUP($A1204,Sheet_NoteList,2,0)</f>
        <v>期末按组合3计提坏账准备的其他应收款（第二阶段）</v>
      </c>
      <c r="E1204" s="2716" t="s">
        <v>6533</v>
      </c>
      <c r="F1204" s="293"/>
      <c r="G1204" s="372" t="str">
        <f>"("&amp;B1204&amp;")"&amp;D1204</f>
        <v>(3A2.4)期末按组合3计提坏账准备的其他应收款（第二阶段）</v>
      </c>
      <c r="H1204" s="2315">
        <f>$A1204</f>
        <v>122124</v>
      </c>
      <c r="I1204" s="343" t="s">
        <v>5935</v>
      </c>
      <c r="J1204" s="301" t="s">
        <v>5936</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5941</v>
      </c>
      <c r="H1205" s="371" t="s">
        <v>5389</v>
      </c>
      <c r="I1205" s="371" t="s">
        <v>5531</v>
      </c>
      <c r="J1205" s="371" t="s">
        <v>5403</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5473</v>
      </c>
      <c r="I1206" s="371" t="s">
        <v>5378</v>
      </c>
      <c r="J1206" s="371" t="s">
        <v>5379</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147" t="s">
        <v>5949</v>
      </c>
      <c r="H1207" s="3155" t="str">
        <f>$V$2</f>
        <v>2019年12月31日</v>
      </c>
      <c r="I1207" s="3156"/>
      <c r="J1207" s="3156"/>
      <c r="K1207" s="355" t="s">
        <v>5950</v>
      </c>
      <c r="L1207" s="349"/>
      <c r="M1207" s="301"/>
      <c r="N1207" s="391"/>
      <c r="O1207" s="349"/>
      <c r="P1207" s="301"/>
      <c r="S1207" s="364"/>
      <c r="Z1207" s="609" t="s">
        <v>540</v>
      </c>
      <c r="AA1207" s="609" t="s">
        <v>3137</v>
      </c>
    </row>
    <row r="1208" spans="1:27" ht="17">
      <c r="A1208" s="2714"/>
      <c r="B1208" s="371"/>
      <c r="C1208" s="371"/>
      <c r="D1208" s="2716"/>
      <c r="E1208" s="2716" t="s">
        <v>2749</v>
      </c>
      <c r="F1208" s="293"/>
      <c r="G1208" s="3148"/>
      <c r="H1208" s="2207" t="s">
        <v>2861</v>
      </c>
      <c r="I1208" s="2207" t="s">
        <v>2862</v>
      </c>
      <c r="J1208" s="2208" t="s">
        <v>2889</v>
      </c>
      <c r="K1208" s="391"/>
      <c r="L1208" s="349"/>
      <c r="M1208" s="301"/>
      <c r="N1208" s="391"/>
      <c r="O1208" s="349"/>
      <c r="P1208" s="301"/>
      <c r="S1208" s="364"/>
      <c r="Z1208" s="609" t="s">
        <v>540</v>
      </c>
      <c r="AA1208" s="609" t="s">
        <v>3137</v>
      </c>
    </row>
    <row r="1209" spans="1:27" ht="17">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7">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7">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7">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7">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7">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7">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7">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7">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9">
      <c r="A1219" s="2714">
        <v>122103</v>
      </c>
      <c r="B1219" s="371" t="s">
        <v>6549</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5906</v>
      </c>
      <c r="H1220" s="371" t="s">
        <v>2747</v>
      </c>
      <c r="I1220" s="371" t="s">
        <v>2947</v>
      </c>
      <c r="J1220" s="371" t="s">
        <v>5927</v>
      </c>
      <c r="K1220" s="547" t="s">
        <v>5933</v>
      </c>
      <c r="L1220" s="547" t="s">
        <v>3145</v>
      </c>
      <c r="M1220" s="433"/>
      <c r="N1220" s="428"/>
      <c r="O1220" s="428"/>
      <c r="P1220" s="433"/>
      <c r="Q1220" s="442"/>
      <c r="R1220" s="443"/>
      <c r="S1220" s="364"/>
      <c r="Z1220" s="609" t="s">
        <v>540</v>
      </c>
      <c r="AA1220" s="609" t="s">
        <v>3137</v>
      </c>
    </row>
    <row r="1221" spans="1:29" ht="39">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5274</v>
      </c>
      <c r="N1221" s="434"/>
      <c r="O1221" s="434"/>
      <c r="P1221" s="435"/>
      <c r="Q1221" s="442"/>
      <c r="R1221" s="443"/>
      <c r="S1221" s="364"/>
      <c r="Z1221" s="609" t="s">
        <v>540</v>
      </c>
      <c r="AA1221" s="609" t="s">
        <v>3137</v>
      </c>
    </row>
    <row r="1222" spans="1:29" ht="17">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6575</v>
      </c>
    </row>
    <row r="1223" spans="1:29" ht="17">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6137</v>
      </c>
      <c r="N1223" s="439"/>
      <c r="O1223" s="437"/>
      <c r="P1223" s="438"/>
      <c r="Q1223" s="442"/>
      <c r="R1223" s="443"/>
      <c r="S1223" s="364"/>
      <c r="Z1223" s="609" t="s">
        <v>540</v>
      </c>
      <c r="AA1223" s="609" t="s">
        <v>3137</v>
      </c>
    </row>
    <row r="1224" spans="1:29" ht="17">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7">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7">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7">
      <c r="A1227" s="2714"/>
      <c r="B1227" s="371">
        <v>106</v>
      </c>
      <c r="C1227" s="371" t="s">
        <v>2791</v>
      </c>
      <c r="D1227" s="2716">
        <f t="shared" si="104"/>
        <v>1</v>
      </c>
      <c r="E1227" s="2721">
        <v>0</v>
      </c>
      <c r="F1227" s="293"/>
      <c r="G1227" s="2284" t="s">
        <v>5946</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6575</v>
      </c>
    </row>
    <row r="1228" spans="1:29" ht="17">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7">
      <c r="A1229" s="2714"/>
      <c r="B1229" s="371">
        <v>108</v>
      </c>
      <c r="C1229" s="371" t="s">
        <v>6534</v>
      </c>
      <c r="D1229" s="2716">
        <f t="shared" si="104"/>
        <v>1</v>
      </c>
      <c r="E1229" s="2721">
        <v>0</v>
      </c>
      <c r="F1229" s="293"/>
      <c r="G1229" s="2284" t="s">
        <v>5947</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7">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6575</v>
      </c>
    </row>
    <row r="1232" spans="1:29" ht="17">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9">
      <c r="A1233" s="2714">
        <v>122131</v>
      </c>
      <c r="B1233" s="371" t="s">
        <v>6550</v>
      </c>
      <c r="C1233" s="371"/>
      <c r="D1233" s="2716" t="str">
        <f>VLOOKUP($A1233,Sheet_NoteList,2,0)</f>
        <v>期末按单项计提坏账准备的其他应收款（第三阶段）</v>
      </c>
      <c r="E1233" s="2716" t="s">
        <v>6533</v>
      </c>
      <c r="F1233" s="293"/>
      <c r="G1233" s="372" t="str">
        <f>"("&amp;B1233&amp;")"&amp;D1233</f>
        <v>(3A3.1)期末按单项计提坏账准备的其他应收款（第三阶段）</v>
      </c>
      <c r="H1233" s="2315">
        <f>$A1233</f>
        <v>122131</v>
      </c>
      <c r="I1233" s="343" t="s">
        <v>5935</v>
      </c>
      <c r="J1233" s="301" t="s">
        <v>5936</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5942</v>
      </c>
      <c r="H1234" s="371" t="s">
        <v>5475</v>
      </c>
      <c r="I1234" s="371" t="s">
        <v>5476</v>
      </c>
      <c r="J1234" s="371" t="s">
        <v>5477</v>
      </c>
      <c r="K1234" s="371" t="s">
        <v>5478</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5473</v>
      </c>
      <c r="I1235" s="371" t="s">
        <v>5378</v>
      </c>
      <c r="J1235" s="371" t="s">
        <v>5474</v>
      </c>
      <c r="K1235" s="371" t="s">
        <v>5388</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145" t="s">
        <v>6004</v>
      </c>
      <c r="H1236" s="3153" t="str">
        <f>$V$2</f>
        <v>2019年12月31日</v>
      </c>
      <c r="I1236" s="3154"/>
      <c r="J1236" s="3154"/>
      <c r="K1236" s="3154"/>
      <c r="L1236" s="355" t="s">
        <v>5274</v>
      </c>
      <c r="M1236" s="301"/>
      <c r="N1236" s="391"/>
      <c r="O1236" s="349"/>
      <c r="P1236" s="301"/>
      <c r="S1236" s="364"/>
      <c r="Z1236" s="609" t="s">
        <v>540</v>
      </c>
      <c r="AA1236" s="609" t="s">
        <v>3137</v>
      </c>
    </row>
    <row r="1237" spans="1:27" ht="17">
      <c r="A1237" s="2714"/>
      <c r="B1237" s="371"/>
      <c r="C1237" s="371"/>
      <c r="D1237" s="2716"/>
      <c r="E1237" s="586" t="s">
        <v>2749</v>
      </c>
      <c r="F1237" s="414"/>
      <c r="G1237" s="3146"/>
      <c r="H1237" s="2294" t="s">
        <v>2861</v>
      </c>
      <c r="I1237" s="2294" t="s">
        <v>2862</v>
      </c>
      <c r="J1237" s="2294" t="s">
        <v>3001</v>
      </c>
      <c r="K1237" s="2240" t="s">
        <v>2899</v>
      </c>
      <c r="L1237" s="349"/>
      <c r="M1237" s="301"/>
      <c r="N1237" s="391"/>
      <c r="O1237" s="349"/>
      <c r="P1237" s="301"/>
      <c r="S1237" s="364"/>
      <c r="Z1237" s="609" t="s">
        <v>540</v>
      </c>
      <c r="AA1237" s="609" t="s">
        <v>3137</v>
      </c>
    </row>
    <row r="1238" spans="1:27" ht="17">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7">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7">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7">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7">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7">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7">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7">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7.5" thickTop="1">
      <c r="A1248" s="2714"/>
      <c r="B1248" s="371"/>
      <c r="C1248" s="371" t="s">
        <v>2565</v>
      </c>
      <c r="D1248" s="2716"/>
      <c r="F1248" s="293"/>
      <c r="G1248" s="1549" t="s">
        <v>5368</v>
      </c>
      <c r="H1248" s="1550" t="str">
        <f>G1219</f>
        <v>(3A3)期末处于第三阶段的其他应收款坏账准备（三阶段模型）</v>
      </c>
      <c r="I1248" s="1552"/>
      <c r="J1248" s="1551"/>
      <c r="K1248" s="1551"/>
      <c r="L1248" s="1553" t="s">
        <v>5369</v>
      </c>
      <c r="M1248" s="301"/>
      <c r="N1248" s="391"/>
      <c r="O1248" s="349"/>
      <c r="P1248" s="301"/>
      <c r="S1248" s="364"/>
      <c r="Z1248" s="609" t="s">
        <v>540</v>
      </c>
      <c r="AA1248" s="609" t="s">
        <v>3137</v>
      </c>
    </row>
    <row r="1249" spans="1:27" ht="17">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7">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7">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7">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9">
      <c r="A1255" s="2714">
        <v>122132</v>
      </c>
      <c r="B1255" s="371" t="s">
        <v>6551</v>
      </c>
      <c r="C1255" s="371"/>
      <c r="D1255" s="2716" t="str">
        <f>VLOOKUP($A1255,Sheet_NoteList,2,0)</f>
        <v>期末按组合1计提坏账准备的其他应收款（第三阶段）</v>
      </c>
      <c r="E1255" s="2716" t="s">
        <v>6535</v>
      </c>
      <c r="F1255" s="293"/>
      <c r="G1255" s="372" t="str">
        <f>"("&amp;B1255&amp;")"&amp;D1255</f>
        <v>(3A3.2)期末按组合1计提坏账准备的其他应收款（第三阶段）</v>
      </c>
      <c r="H1255" s="2315">
        <f>$A1255</f>
        <v>122132</v>
      </c>
      <c r="I1255" s="343" t="s">
        <v>5935</v>
      </c>
      <c r="J1255" s="301" t="s">
        <v>5936</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5943</v>
      </c>
      <c r="H1256" s="371" t="s">
        <v>5389</v>
      </c>
      <c r="I1256" s="371" t="s">
        <v>5531</v>
      </c>
      <c r="J1256" s="371" t="s">
        <v>5403</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5473</v>
      </c>
      <c r="I1257" s="371" t="s">
        <v>5378</v>
      </c>
      <c r="J1257" s="371" t="s">
        <v>5379</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145" t="s">
        <v>5137</v>
      </c>
      <c r="H1258" s="3153" t="str">
        <f>$V$2</f>
        <v>2019年12月31日</v>
      </c>
      <c r="I1258" s="3154"/>
      <c r="J1258" s="3154"/>
      <c r="K1258" s="355" t="s">
        <v>5274</v>
      </c>
      <c r="L1258" s="349"/>
      <c r="M1258" s="301"/>
      <c r="N1258" s="391"/>
      <c r="O1258" s="349"/>
      <c r="P1258" s="301"/>
      <c r="S1258" s="364"/>
      <c r="Z1258" s="609" t="s">
        <v>540</v>
      </c>
      <c r="AA1258" s="609" t="s">
        <v>3137</v>
      </c>
    </row>
    <row r="1259" spans="1:27" ht="17">
      <c r="A1259" s="2714"/>
      <c r="B1259" s="371"/>
      <c r="C1259" s="371"/>
      <c r="D1259" s="2716"/>
      <c r="E1259" s="586" t="s">
        <v>2749</v>
      </c>
      <c r="F1259" s="414"/>
      <c r="G1259" s="3146"/>
      <c r="H1259" s="2294" t="s">
        <v>2861</v>
      </c>
      <c r="I1259" s="2294" t="s">
        <v>2862</v>
      </c>
      <c r="J1259" s="2240" t="s">
        <v>2889</v>
      </c>
      <c r="K1259" s="391"/>
      <c r="L1259" s="349"/>
      <c r="M1259" s="301"/>
      <c r="N1259" s="391"/>
      <c r="O1259" s="349"/>
      <c r="P1259" s="301"/>
      <c r="S1259" s="364"/>
      <c r="Z1259" s="609" t="s">
        <v>540</v>
      </c>
      <c r="AA1259" s="609" t="s">
        <v>3137</v>
      </c>
    </row>
    <row r="1260" spans="1:27" ht="17">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7">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7">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7">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7">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7">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7">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7">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7.5" thickTop="1">
      <c r="A1270" s="2714"/>
      <c r="B1270" s="371"/>
      <c r="C1270" s="371" t="s">
        <v>2565</v>
      </c>
      <c r="D1270" s="2716"/>
      <c r="F1270" s="293"/>
      <c r="G1270" s="1549" t="s">
        <v>5368</v>
      </c>
      <c r="H1270" s="1550" t="str">
        <f>G1219</f>
        <v>(3A3)期末处于第三阶段的其他应收款坏账准备（三阶段模型）</v>
      </c>
      <c r="I1270" s="1552"/>
      <c r="J1270" s="1551"/>
      <c r="K1270" s="1553" t="s">
        <v>5369</v>
      </c>
      <c r="L1270" s="349"/>
      <c r="M1270" s="301"/>
      <c r="N1270" s="391"/>
      <c r="O1270" s="349"/>
      <c r="P1270" s="301"/>
      <c r="S1270" s="364"/>
      <c r="Z1270" s="609" t="s">
        <v>540</v>
      </c>
      <c r="AA1270" s="609" t="s">
        <v>3137</v>
      </c>
    </row>
    <row r="1271" spans="1:27" ht="17">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7">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7">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7">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9">
      <c r="A1277" s="2714">
        <v>122133</v>
      </c>
      <c r="B1277" s="371" t="s">
        <v>6552</v>
      </c>
      <c r="C1277" s="371"/>
      <c r="D1277" s="2716" t="str">
        <f>VLOOKUP($A1277,Sheet_NoteList,2,0)</f>
        <v>期末按组合2计提坏账准备的其他应收款（第三阶段）</v>
      </c>
      <c r="E1277" s="2716" t="s">
        <v>6535</v>
      </c>
      <c r="F1277" s="293"/>
      <c r="G1277" s="372" t="str">
        <f>"("&amp;B1277&amp;")"&amp;D1277</f>
        <v>(3A3.3)期末按组合2计提坏账准备的其他应收款（第三阶段）</v>
      </c>
      <c r="H1277" s="2315">
        <f>$A1277</f>
        <v>122133</v>
      </c>
      <c r="I1277" s="343" t="s">
        <v>5935</v>
      </c>
      <c r="J1277" s="301" t="s">
        <v>5936</v>
      </c>
      <c r="K1277" s="2210">
        <f>H1290</f>
        <v>0</v>
      </c>
      <c r="L1277" s="349" t="str">
        <f>IF($I1277="适用",IF(ROUND(K$987-K1277,2)=0,"F/S",ROUND(K$987-K1277,2)),"#N/A")</f>
        <v>F/S</v>
      </c>
      <c r="M1277" s="301" t="s">
        <v>5937</v>
      </c>
      <c r="N1277" s="2210">
        <f>I1290</f>
        <v>0</v>
      </c>
      <c r="O1277" s="349" t="str">
        <f>IF($I1277="适用",IF(ROUND(N$987-N1277,2)=0,"F/S",ROUND(N$987-N1277,2)),"#N/A")</f>
        <v>F/S</v>
      </c>
      <c r="P1277" s="301"/>
      <c r="S1277" s="364"/>
      <c r="Z1277" s="609" t="s">
        <v>540</v>
      </c>
      <c r="AA1277" s="609" t="s">
        <v>3137</v>
      </c>
    </row>
    <row r="1278" spans="1:27" ht="0.75" customHeight="1">
      <c r="A1278" s="2714"/>
      <c r="B1278" s="371"/>
      <c r="C1278" s="371"/>
      <c r="D1278" s="2716"/>
      <c r="F1278" s="371"/>
      <c r="G1278" s="405" t="s">
        <v>5944</v>
      </c>
      <c r="H1278" s="371" t="s">
        <v>5389</v>
      </c>
      <c r="I1278" s="371" t="s">
        <v>5531</v>
      </c>
      <c r="J1278" s="371" t="s">
        <v>5403</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5473</v>
      </c>
      <c r="I1279" s="371" t="s">
        <v>5378</v>
      </c>
      <c r="J1279" s="371" t="s">
        <v>5379</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147" t="s">
        <v>5949</v>
      </c>
      <c r="H1280" s="3155" t="str">
        <f>$V$2</f>
        <v>2019年12月31日</v>
      </c>
      <c r="I1280" s="3156"/>
      <c r="J1280" s="3156"/>
      <c r="K1280" s="355" t="s">
        <v>5950</v>
      </c>
      <c r="L1280" s="349"/>
      <c r="M1280" s="301"/>
      <c r="N1280" s="391"/>
      <c r="O1280" s="349"/>
      <c r="P1280" s="301"/>
      <c r="S1280" s="364"/>
      <c r="Z1280" s="609" t="s">
        <v>540</v>
      </c>
      <c r="AA1280" s="609" t="s">
        <v>3137</v>
      </c>
    </row>
    <row r="1281" spans="1:27" ht="17">
      <c r="A1281" s="2714"/>
      <c r="B1281" s="371"/>
      <c r="C1281" s="371"/>
      <c r="D1281" s="2716"/>
      <c r="E1281" s="2716" t="s">
        <v>2749</v>
      </c>
      <c r="F1281" s="293"/>
      <c r="G1281" s="3148"/>
      <c r="H1281" s="2207" t="s">
        <v>2861</v>
      </c>
      <c r="I1281" s="2207" t="s">
        <v>2862</v>
      </c>
      <c r="J1281" s="2208" t="s">
        <v>2889</v>
      </c>
      <c r="K1281" s="391"/>
      <c r="L1281" s="349"/>
      <c r="M1281" s="301"/>
      <c r="N1281" s="391"/>
      <c r="O1281" s="349"/>
      <c r="P1281" s="301"/>
      <c r="S1281" s="364"/>
      <c r="Z1281" s="609" t="s">
        <v>540</v>
      </c>
      <c r="AA1281" s="609" t="s">
        <v>3137</v>
      </c>
    </row>
    <row r="1282" spans="1:27" ht="17">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7">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7">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7">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7">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7">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7">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7">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7">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9">
      <c r="A1292" s="2714">
        <v>122134</v>
      </c>
      <c r="B1292" s="371" t="s">
        <v>6553</v>
      </c>
      <c r="C1292" s="371"/>
      <c r="D1292" s="2716" t="str">
        <f>VLOOKUP($A1292,Sheet_NoteList,2,0)</f>
        <v>期末按组合3计提坏账准备的其他应收款（第三阶段）</v>
      </c>
      <c r="E1292" s="2716" t="s">
        <v>6533</v>
      </c>
      <c r="F1292" s="293"/>
      <c r="G1292" s="372" t="str">
        <f>"("&amp;B1292&amp;")"&amp;D1292</f>
        <v>(3A3.4)期末按组合3计提坏账准备的其他应收款（第三阶段）</v>
      </c>
      <c r="H1292" s="2315">
        <f>$A1292</f>
        <v>122134</v>
      </c>
      <c r="I1292" s="343" t="s">
        <v>5935</v>
      </c>
      <c r="J1292" s="301" t="s">
        <v>5936</v>
      </c>
      <c r="K1292" s="2210">
        <f>H1305</f>
        <v>0</v>
      </c>
      <c r="L1292" s="349" t="str">
        <f>IF($I1292="适用",IF(ROUND(K$987-K1292,2)=0,"F/S",ROUND(K$987-K1292,2)),"#N/A")</f>
        <v>F/S</v>
      </c>
      <c r="M1292" s="301" t="s">
        <v>5937</v>
      </c>
      <c r="N1292" s="2210">
        <f>I1305</f>
        <v>0</v>
      </c>
      <c r="O1292" s="349" t="str">
        <f>IF($I1292="适用",IF(ROUND(N$987-N1292,2)=0,"F/S",ROUND(N$987-N1292,2)),"#N/A")</f>
        <v>F/S</v>
      </c>
      <c r="P1292" s="301"/>
      <c r="S1292" s="364"/>
      <c r="Z1292" s="609" t="s">
        <v>540</v>
      </c>
      <c r="AA1292" s="609" t="s">
        <v>3137</v>
      </c>
    </row>
    <row r="1293" spans="1:27" ht="0.75" customHeight="1">
      <c r="A1293" s="2714"/>
      <c r="B1293" s="371"/>
      <c r="C1293" s="371"/>
      <c r="D1293" s="2716"/>
      <c r="F1293" s="371"/>
      <c r="G1293" s="405" t="s">
        <v>5945</v>
      </c>
      <c r="H1293" s="371" t="s">
        <v>5389</v>
      </c>
      <c r="I1293" s="371" t="s">
        <v>5531</v>
      </c>
      <c r="J1293" s="371" t="s">
        <v>5403</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5473</v>
      </c>
      <c r="I1294" s="371" t="s">
        <v>5378</v>
      </c>
      <c r="J1294" s="371" t="s">
        <v>5379</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147" t="s">
        <v>5949</v>
      </c>
      <c r="H1295" s="3155" t="str">
        <f>$V$2</f>
        <v>2019年12月31日</v>
      </c>
      <c r="I1295" s="3156"/>
      <c r="J1295" s="3156"/>
      <c r="K1295" s="355" t="s">
        <v>5950</v>
      </c>
      <c r="L1295" s="349"/>
      <c r="M1295" s="301"/>
      <c r="N1295" s="391"/>
      <c r="O1295" s="349"/>
      <c r="P1295" s="301"/>
      <c r="S1295" s="364"/>
      <c r="Z1295" s="609" t="s">
        <v>540</v>
      </c>
      <c r="AA1295" s="609" t="s">
        <v>3137</v>
      </c>
    </row>
    <row r="1296" spans="1:27" ht="17">
      <c r="A1296" s="2714"/>
      <c r="B1296" s="371"/>
      <c r="C1296" s="371"/>
      <c r="D1296" s="2716"/>
      <c r="E1296" s="2716" t="s">
        <v>2749</v>
      </c>
      <c r="F1296" s="293"/>
      <c r="G1296" s="3148"/>
      <c r="H1296" s="2207" t="s">
        <v>2861</v>
      </c>
      <c r="I1296" s="2207" t="s">
        <v>2862</v>
      </c>
      <c r="J1296" s="2208" t="s">
        <v>2889</v>
      </c>
      <c r="K1296" s="391"/>
      <c r="L1296" s="349"/>
      <c r="M1296" s="301"/>
      <c r="N1296" s="391"/>
      <c r="O1296" s="349"/>
      <c r="P1296" s="301"/>
      <c r="S1296" s="364"/>
      <c r="Z1296" s="609" t="s">
        <v>540</v>
      </c>
      <c r="AA1296" s="609" t="s">
        <v>3137</v>
      </c>
    </row>
    <row r="1297" spans="1:29" ht="17">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7">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7">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7">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7">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7">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7">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7">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7">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9">
      <c r="A1307" s="2714" t="s">
        <v>558</v>
      </c>
      <c r="B1307" s="371" t="s">
        <v>6554</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t="str">
        <f>IF($I1307="适用",IF(ROUND(N$987-N1307,2)=0,"F/S",ROUND(N$987-N1307,2)),"#N/A")</f>
        <v>F/S</v>
      </c>
      <c r="P1307" s="301"/>
      <c r="S1307" s="364"/>
      <c r="Z1307" s="609" t="s">
        <v>540</v>
      </c>
      <c r="AA1307" s="609" t="s">
        <v>3137</v>
      </c>
    </row>
    <row r="1308" spans="1:29" ht="0.75" customHeight="1">
      <c r="A1308" s="2714"/>
      <c r="B1308" s="371"/>
      <c r="C1308" s="371"/>
      <c r="D1308" s="2716"/>
      <c r="E1308" s="586"/>
      <c r="F1308" s="586"/>
      <c r="G1308" s="2224" t="s">
        <v>3149</v>
      </c>
      <c r="H1308" s="371" t="s">
        <v>5391</v>
      </c>
      <c r="I1308" s="371" t="s">
        <v>5409</v>
      </c>
      <c r="J1308" s="371" t="s">
        <v>5393</v>
      </c>
      <c r="K1308" s="547" t="s">
        <v>5394</v>
      </c>
      <c r="L1308" s="547" t="s">
        <v>5395</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5396</v>
      </c>
      <c r="I1309" s="371" t="s">
        <v>5397</v>
      </c>
      <c r="J1309" s="371" t="s">
        <v>5398</v>
      </c>
      <c r="K1309" s="547" t="s">
        <v>5399</v>
      </c>
      <c r="L1309" s="547" t="s">
        <v>5400</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145" t="s">
        <v>6005</v>
      </c>
      <c r="H1310" s="3153" t="str">
        <f>$V$3</f>
        <v>2018年12月31日</v>
      </c>
      <c r="I1310" s="3154"/>
      <c r="J1310" s="3154"/>
      <c r="K1310" s="3154"/>
      <c r="L1310" s="3154"/>
      <c r="M1310" s="355" t="s">
        <v>5274</v>
      </c>
      <c r="N1310" s="428"/>
      <c r="O1310" s="428"/>
      <c r="P1310" s="433"/>
      <c r="Q1310" s="442"/>
      <c r="R1310" s="443"/>
      <c r="S1310" s="364"/>
      <c r="Z1310" s="609" t="s">
        <v>540</v>
      </c>
      <c r="AA1310" s="609" t="s">
        <v>3137</v>
      </c>
    </row>
    <row r="1311" spans="1:29" ht="17">
      <c r="A1311" s="2714"/>
      <c r="B1311" s="371"/>
      <c r="C1311" s="371"/>
      <c r="D1311" s="2716"/>
      <c r="E1311" s="586" t="s">
        <v>2749</v>
      </c>
      <c r="F1311" s="414"/>
      <c r="G1311" s="3146"/>
      <c r="H1311" s="2294" t="s">
        <v>6006</v>
      </c>
      <c r="I1311" s="2294" t="s">
        <v>2888</v>
      </c>
      <c r="J1311" s="2294" t="s">
        <v>6007</v>
      </c>
      <c r="K1311" s="2239" t="s">
        <v>2889</v>
      </c>
      <c r="L1311" s="2240" t="s">
        <v>6008</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6575</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7">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7">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7.5" thickTop="1">
      <c r="A1319" s="2714"/>
      <c r="B1319" s="371"/>
      <c r="C1319" s="371" t="s">
        <v>2565</v>
      </c>
      <c r="D1319" s="2716"/>
      <c r="F1319" s="293"/>
      <c r="G1319" s="1549" t="s">
        <v>5368</v>
      </c>
      <c r="H1319" s="1550" t="str">
        <f>G988</f>
        <v>(1)其他应收款按账龄披露</v>
      </c>
      <c r="I1319" s="1551"/>
      <c r="J1319" s="1552"/>
      <c r="K1319" s="1551"/>
      <c r="L1319" s="1552"/>
      <c r="M1319" s="1553" t="s">
        <v>5369</v>
      </c>
      <c r="N1319" s="426"/>
      <c r="O1319" s="427"/>
      <c r="P1319" s="425"/>
      <c r="Q1319" s="442"/>
      <c r="R1319" s="442"/>
      <c r="S1319" s="364"/>
      <c r="Z1319" s="609" t="s">
        <v>540</v>
      </c>
      <c r="AA1319" s="609" t="s">
        <v>3137</v>
      </c>
    </row>
    <row r="1320" spans="1:27" ht="17">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7">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7">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7">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52">
      <c r="A1326" s="2714" t="s">
        <v>569</v>
      </c>
      <c r="B1326" s="371" t="s">
        <v>6555</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145" t="s">
        <v>3161</v>
      </c>
      <c r="H1329" s="3153" t="str">
        <f>$V$3</f>
        <v>2018年12月31日</v>
      </c>
      <c r="I1329" s="3154"/>
      <c r="J1329" s="3154"/>
      <c r="K1329" s="3154"/>
      <c r="L1329" s="355" t="s">
        <v>5274</v>
      </c>
      <c r="M1329" s="435"/>
      <c r="N1329" s="434"/>
      <c r="O1329" s="434"/>
      <c r="P1329" s="435"/>
      <c r="Q1329" s="442"/>
      <c r="R1329" s="443"/>
      <c r="S1329" s="364"/>
      <c r="Z1329" s="609" t="s">
        <v>540</v>
      </c>
      <c r="AA1329" s="609" t="s">
        <v>3137</v>
      </c>
    </row>
    <row r="1330" spans="1:27" ht="17">
      <c r="A1330" s="2714"/>
      <c r="B1330" s="371"/>
      <c r="C1330" s="371"/>
      <c r="D1330" s="2716"/>
      <c r="E1330" s="586" t="s">
        <v>2749</v>
      </c>
      <c r="F1330" s="414"/>
      <c r="G1330" s="3146"/>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7">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7">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7">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7">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7">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7">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7">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7">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7.5" thickTop="1">
      <c r="A1341" s="2714"/>
      <c r="B1341" s="371"/>
      <c r="C1341" s="371" t="s">
        <v>2565</v>
      </c>
      <c r="D1341" s="2716"/>
      <c r="F1341" s="293"/>
      <c r="G1341" s="1549" t="s">
        <v>5368</v>
      </c>
      <c r="H1341" s="1550" t="str">
        <f>G1307</f>
        <v>(3B)其他应收款按坏账计提方法分类披露（已发生损失模型）</v>
      </c>
      <c r="I1341" s="1552"/>
      <c r="J1341" s="1551"/>
      <c r="K1341" s="1551"/>
      <c r="L1341" s="1553" t="s">
        <v>5369</v>
      </c>
      <c r="M1341" s="425"/>
      <c r="N1341" s="426"/>
      <c r="O1341" s="427"/>
      <c r="P1341" s="425"/>
      <c r="Q1341" s="442"/>
      <c r="R1341" s="442"/>
      <c r="S1341" s="364"/>
      <c r="Z1341" s="609" t="s">
        <v>540</v>
      </c>
      <c r="AA1341" s="609" t="s">
        <v>3137</v>
      </c>
    </row>
    <row r="1342" spans="1:27" ht="26">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7">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7">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7">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9">
      <c r="A1348" s="2714" t="s">
        <v>575</v>
      </c>
      <c r="B1348" s="2717" t="s">
        <v>6556</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5410</v>
      </c>
      <c r="I1349" s="371" t="s">
        <v>5411</v>
      </c>
      <c r="J1349" s="547" t="s">
        <v>5412</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5413</v>
      </c>
      <c r="I1350" s="371" t="s">
        <v>5414</v>
      </c>
      <c r="J1350" s="371" t="s">
        <v>5415</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145" t="s">
        <v>6009</v>
      </c>
      <c r="H1351" s="3153" t="str">
        <f>$V$3</f>
        <v>2018年12月31日</v>
      </c>
      <c r="I1351" s="3154"/>
      <c r="J1351" s="3154"/>
      <c r="K1351" s="355" t="s">
        <v>5274</v>
      </c>
      <c r="L1351" s="428"/>
      <c r="M1351" s="433"/>
      <c r="N1351" s="428"/>
      <c r="O1351" s="428"/>
      <c r="P1351" s="433"/>
      <c r="Q1351" s="442"/>
      <c r="R1351" s="443"/>
      <c r="S1351" s="364"/>
      <c r="Z1351" s="609" t="s">
        <v>540</v>
      </c>
      <c r="AA1351" s="609" t="s">
        <v>3137</v>
      </c>
    </row>
    <row r="1352" spans="1:27" ht="17">
      <c r="A1352" s="2714"/>
      <c r="B1352" s="371"/>
      <c r="C1352" s="371"/>
      <c r="D1352" s="2716"/>
      <c r="E1352" s="586" t="s">
        <v>2749</v>
      </c>
      <c r="F1352" s="414"/>
      <c r="G1352" s="3146"/>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7">
      <c r="A1353" s="2714"/>
      <c r="B1353" s="371">
        <v>101</v>
      </c>
      <c r="C1353" s="371"/>
      <c r="D1353" s="2716">
        <f t="shared" ref="D1353:D1363" si="114">IF(OR(G1353="*",G1353="",G1353=0),0,COUNTIF($G$1353:$G$1363,G1353))</f>
        <v>1</v>
      </c>
      <c r="E1353" s="2721" t="s">
        <v>6536</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7">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7">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7">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7">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7">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7">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7">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7">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7">
      <c r="A1362" s="2714"/>
      <c r="B1362" s="371">
        <v>107</v>
      </c>
      <c r="C1362" s="371" t="s">
        <v>6534</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7">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7" hidden="1">
      <c r="A1365" s="2714" t="s">
        <v>619</v>
      </c>
      <c r="B1365" s="371">
        <v>1</v>
      </c>
      <c r="C1365" s="371"/>
      <c r="D1365" s="2716" t="str">
        <f>VLOOKUP($A1365,Sheet_NoteList,2,0)</f>
        <v>其他应收款按种类列示</v>
      </c>
      <c r="E1365" s="2716" t="s">
        <v>6610</v>
      </c>
      <c r="F1365" s="294"/>
      <c r="G1365" s="307" t="str">
        <f>"("&amp;B1365&amp;")"&amp;D1365</f>
        <v>(1)其他应收款按种类列示</v>
      </c>
      <c r="H1365" s="1517" t="str">
        <f>$A1365</f>
        <v>1221a</v>
      </c>
      <c r="I1365" s="343" t="s">
        <v>6613</v>
      </c>
      <c r="J1365" s="301" t="s">
        <v>6616</v>
      </c>
      <c r="K1365" s="344">
        <f>L1378</f>
        <v>0</v>
      </c>
      <c r="L1365" s="345" t="str">
        <f>IF($I1365="适用",IF(ROUND($K987-K1365,2)=0,"F/S",ROUND($K987-K1365,2)),"#N/A")</f>
        <v>#N/A</v>
      </c>
      <c r="M1365" s="301" t="s">
        <v>6617</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7" hidden="1">
      <c r="A1368" s="2714"/>
      <c r="B1368" s="371"/>
      <c r="C1368" s="371"/>
      <c r="D1368" s="371"/>
      <c r="E1368" s="2716" t="s">
        <v>2749</v>
      </c>
      <c r="F1368" s="294"/>
      <c r="G1368" s="3215" t="s">
        <v>2973</v>
      </c>
      <c r="H1368" s="3274" t="s">
        <v>2775</v>
      </c>
      <c r="I1368" s="3189"/>
      <c r="J1368" s="3189"/>
      <c r="K1368" s="3189"/>
      <c r="L1368" s="3190"/>
      <c r="M1368" s="424" t="s">
        <v>5991</v>
      </c>
      <c r="N1368" s="291"/>
      <c r="O1368" s="291"/>
      <c r="P1368" s="291"/>
      <c r="S1368" s="364"/>
      <c r="Z1368" s="609" t="s">
        <v>540</v>
      </c>
      <c r="AA1368" s="609" t="s">
        <v>3137</v>
      </c>
      <c r="AE1368" s="369" t="s">
        <v>2761</v>
      </c>
    </row>
    <row r="1369" spans="1:31" ht="26.5" hidden="1">
      <c r="A1369" s="2714"/>
      <c r="B1369" s="371"/>
      <c r="C1369" s="371"/>
      <c r="D1369" s="371"/>
      <c r="E1369" s="2716" t="s">
        <v>2749</v>
      </c>
      <c r="F1369" s="294"/>
      <c r="G1369" s="3186"/>
      <c r="H1369" s="2574" t="s">
        <v>6129</v>
      </c>
      <c r="I1369" s="2575" t="s">
        <v>6126</v>
      </c>
      <c r="J1369" s="451" t="s">
        <v>2974</v>
      </c>
      <c r="K1369" s="467" t="s">
        <v>2975</v>
      </c>
      <c r="L1369" s="468" t="s">
        <v>2994</v>
      </c>
      <c r="M1369" s="291"/>
      <c r="N1369" s="291"/>
      <c r="O1369" s="291"/>
      <c r="P1369" s="291"/>
      <c r="S1369" s="364"/>
      <c r="Z1369" s="609" t="s">
        <v>540</v>
      </c>
      <c r="AA1369" s="609" t="s">
        <v>3137</v>
      </c>
      <c r="AE1369" s="369" t="s">
        <v>2761</v>
      </c>
    </row>
    <row r="1370" spans="1:31" ht="26"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6575</v>
      </c>
      <c r="AE1370" s="369" t="s">
        <v>2761</v>
      </c>
    </row>
    <row r="1371" spans="1:31" ht="26"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7"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6575</v>
      </c>
      <c r="AE1372" s="369" t="s">
        <v>2761</v>
      </c>
    </row>
    <row r="1373" spans="1:31" ht="17"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7"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7"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6"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7"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7"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7.5" hidden="1" thickTop="1">
      <c r="A1380" s="2714"/>
      <c r="B1380" s="371"/>
      <c r="C1380" s="371" t="s">
        <v>2565</v>
      </c>
      <c r="D1380" s="371"/>
      <c r="F1380" s="294"/>
      <c r="G1380" s="1561" t="s">
        <v>5368</v>
      </c>
      <c r="H1380" s="1550" t="str">
        <f>G1013</f>
        <v>(2)其他应收款按款项性质分类情况</v>
      </c>
      <c r="I1380" s="1551"/>
      <c r="J1380" s="1552"/>
      <c r="K1380" s="1551"/>
      <c r="L1380" s="1552"/>
      <c r="M1380" s="1553" t="s">
        <v>5369</v>
      </c>
      <c r="N1380" s="291"/>
      <c r="O1380" s="291"/>
      <c r="P1380" s="291"/>
      <c r="S1380" s="364"/>
      <c r="Z1380" s="609" t="s">
        <v>540</v>
      </c>
      <c r="AA1380" s="609" t="s">
        <v>3137</v>
      </c>
    </row>
    <row r="1381" spans="1:31" ht="17"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7"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7"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7"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7"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6" hidden="1">
      <c r="A1387" s="2714" t="s">
        <v>625</v>
      </c>
      <c r="B1387" s="371">
        <v>3</v>
      </c>
      <c r="C1387" s="371"/>
      <c r="D1387" s="2716" t="str">
        <f>VLOOKUP($A1387,Sheet_NoteList,2,0)</f>
        <v>其他应收款按种类列示（续）</v>
      </c>
      <c r="E1387" s="2716" t="s">
        <v>6610</v>
      </c>
      <c r="F1387" s="294"/>
      <c r="G1387" s="372" t="str">
        <f>"("&amp;B1387&amp;")"&amp;D1387</f>
        <v>(3)其他应收款按种类列示（续）</v>
      </c>
      <c r="H1387" s="1517" t="str">
        <f>$A1387</f>
        <v>1221b</v>
      </c>
      <c r="I1387" s="343" t="s">
        <v>6613</v>
      </c>
      <c r="J1387" s="301" t="s">
        <v>6617</v>
      </c>
      <c r="K1387" s="423"/>
      <c r="L1387" s="315"/>
      <c r="M1387" s="301" t="s">
        <v>6625</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7" hidden="1">
      <c r="A1390" s="2714"/>
      <c r="B1390" s="371"/>
      <c r="C1390" s="371"/>
      <c r="D1390" s="371"/>
      <c r="E1390" s="2716" t="s">
        <v>2749</v>
      </c>
      <c r="F1390" s="294"/>
      <c r="G1390" s="3215" t="s">
        <v>2973</v>
      </c>
      <c r="H1390" s="3274" t="s">
        <v>2776</v>
      </c>
      <c r="I1390" s="3189"/>
      <c r="J1390" s="3189"/>
      <c r="K1390" s="3189"/>
      <c r="L1390" s="3190"/>
      <c r="M1390" s="424" t="s">
        <v>5991</v>
      </c>
      <c r="N1390" s="291"/>
      <c r="O1390" s="291"/>
      <c r="P1390" s="291"/>
      <c r="S1390" s="364"/>
      <c r="Z1390" s="609" t="s">
        <v>540</v>
      </c>
      <c r="AA1390" s="609" t="s">
        <v>3137</v>
      </c>
      <c r="AE1390" s="369" t="s">
        <v>2761</v>
      </c>
    </row>
    <row r="1391" spans="1:31" ht="26.5" hidden="1">
      <c r="A1391" s="2714"/>
      <c r="B1391" s="371"/>
      <c r="C1391" s="371"/>
      <c r="D1391" s="371"/>
      <c r="E1391" s="2716" t="s">
        <v>2749</v>
      </c>
      <c r="F1391" s="294"/>
      <c r="G1391" s="3186"/>
      <c r="H1391" s="451" t="s">
        <v>2861</v>
      </c>
      <c r="I1391" s="467" t="s">
        <v>6127</v>
      </c>
      <c r="J1391" s="451" t="s">
        <v>2974</v>
      </c>
      <c r="K1391" s="467" t="s">
        <v>2975</v>
      </c>
      <c r="L1391" s="468" t="s">
        <v>2994</v>
      </c>
      <c r="M1391" s="291"/>
      <c r="N1391" s="291"/>
      <c r="O1391" s="291"/>
      <c r="P1391" s="291"/>
      <c r="S1391" s="364"/>
      <c r="Z1391" s="609" t="s">
        <v>540</v>
      </c>
      <c r="AA1391" s="609" t="s">
        <v>3137</v>
      </c>
      <c r="AE1391" s="369" t="s">
        <v>2761</v>
      </c>
    </row>
    <row r="1392" spans="1:31" ht="26"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6"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7"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7"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7"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7"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6"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7"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7"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7.5" hidden="1" thickTop="1">
      <c r="A1402" s="2714"/>
      <c r="B1402" s="371"/>
      <c r="C1402" s="371" t="s">
        <v>2565</v>
      </c>
      <c r="D1402" s="2716"/>
      <c r="E1402" s="2721"/>
      <c r="F1402" s="294"/>
      <c r="G1402" s="1561" t="s">
        <v>5368</v>
      </c>
      <c r="H1402" s="1550" t="str">
        <f>G1013</f>
        <v>(2)其他应收款按款项性质分类情况</v>
      </c>
      <c r="I1402" s="2642"/>
      <c r="J1402" s="2643"/>
      <c r="K1402" s="2642"/>
      <c r="L1402" s="2643"/>
      <c r="M1402" s="1553" t="s">
        <v>5369</v>
      </c>
      <c r="N1402" s="291"/>
      <c r="O1402" s="291"/>
      <c r="P1402" s="291"/>
      <c r="S1402" s="364"/>
      <c r="Z1402" s="609" t="s">
        <v>540</v>
      </c>
      <c r="AA1402" s="609" t="s">
        <v>3137</v>
      </c>
    </row>
    <row r="1403" spans="1:31" ht="17"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7"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7"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7"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7"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9" hidden="1">
      <c r="A1409" s="2714" t="s">
        <v>561</v>
      </c>
      <c r="B1409" s="371">
        <v>4</v>
      </c>
      <c r="C1409" s="371"/>
      <c r="D1409" s="2716" t="str">
        <f>VLOOKUP($A1409,Sheet_NoteList,2,0)</f>
        <v>期末单项金额重大并单项计提坏账准备的其他应收款</v>
      </c>
      <c r="E1409" s="2716" t="s">
        <v>6610</v>
      </c>
      <c r="F1409" s="294"/>
      <c r="G1409" s="372" t="str">
        <f>"("&amp;B1409&amp;")"&amp;D1409</f>
        <v>(4)期末单项金额重大并单项计提坏账准备的其他应收款</v>
      </c>
      <c r="H1409" s="1517" t="str">
        <f>$A1409</f>
        <v>1221g</v>
      </c>
      <c r="I1409" s="343" t="s">
        <v>6613</v>
      </c>
      <c r="J1409" s="301" t="s">
        <v>6616</v>
      </c>
      <c r="K1409" s="344">
        <f>H1419</f>
        <v>0</v>
      </c>
      <c r="L1409" s="345"/>
      <c r="M1409" s="301" t="s">
        <v>6617</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5478</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5481</v>
      </c>
      <c r="I1411" s="293" t="s">
        <v>5482</v>
      </c>
      <c r="J1411" s="293" t="s">
        <v>5483</v>
      </c>
      <c r="K1411" s="293" t="s">
        <v>5484</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17" t="s">
        <v>5480</v>
      </c>
      <c r="H1412" s="3168" t="s">
        <v>5479</v>
      </c>
      <c r="I1412" s="3168"/>
      <c r="J1412" s="3168"/>
      <c r="K1412" s="3169"/>
      <c r="L1412" s="424" t="s">
        <v>5991</v>
      </c>
      <c r="M1412" s="2195"/>
      <c r="N1412" s="472"/>
      <c r="O1412" s="472"/>
      <c r="P1412" s="442"/>
      <c r="Q1412" s="442"/>
      <c r="R1412" s="443"/>
      <c r="S1412" s="364"/>
      <c r="Z1412" s="609" t="s">
        <v>540</v>
      </c>
      <c r="AA1412" s="609" t="s">
        <v>3137</v>
      </c>
      <c r="AE1412" s="369" t="s">
        <v>2761</v>
      </c>
    </row>
    <row r="1413" spans="1:31" ht="17" hidden="1">
      <c r="A1413" s="2714"/>
      <c r="B1413" s="371"/>
      <c r="C1413" s="371"/>
      <c r="D1413" s="371"/>
      <c r="E1413" s="2716" t="s">
        <v>2749</v>
      </c>
      <c r="F1413" s="294"/>
      <c r="G1413" s="3216"/>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7"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7"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7"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7"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7"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7"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7.5" hidden="1" thickTop="1">
      <c r="A1421" s="2714"/>
      <c r="B1421" s="371"/>
      <c r="C1421" s="371" t="s">
        <v>2565</v>
      </c>
      <c r="D1421" s="371"/>
      <c r="F1421" s="294"/>
      <c r="G1421" s="1561" t="s">
        <v>5368</v>
      </c>
      <c r="H1421" s="1550" t="str">
        <f>G1365</f>
        <v>(1)其他应收款按种类列示</v>
      </c>
      <c r="I1421" s="1552"/>
      <c r="J1421" s="1551"/>
      <c r="K1421" s="1551"/>
      <c r="L1421" s="1553" t="s">
        <v>5369</v>
      </c>
      <c r="M1421" s="472"/>
      <c r="N1421" s="472"/>
      <c r="O1421" s="472"/>
      <c r="P1421" s="442"/>
      <c r="Q1421" s="442"/>
      <c r="R1421" s="442"/>
      <c r="S1421" s="364"/>
      <c r="Z1421" s="609" t="s">
        <v>540</v>
      </c>
      <c r="AA1421" s="609" t="s">
        <v>3137</v>
      </c>
    </row>
    <row r="1422" spans="1:31" ht="26"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7"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7"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7"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7"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6" hidden="1">
      <c r="A1428" s="2714" t="s">
        <v>635</v>
      </c>
      <c r="B1428" s="371">
        <v>5</v>
      </c>
      <c r="C1428" s="371"/>
      <c r="D1428" s="2716" t="str">
        <f>VLOOKUP($A1428,Sheet_NoteList,2,0)</f>
        <v>组合中按账龄分析法计提坏账准备的其他应收款</v>
      </c>
      <c r="E1428" s="2716" t="s">
        <v>6610</v>
      </c>
      <c r="F1428" s="294"/>
      <c r="G1428" s="372" t="str">
        <f>"("&amp;B1428&amp;")"&amp;D1428</f>
        <v>(5)组合中按账龄分析法计提坏账准备的其他应收款</v>
      </c>
      <c r="H1428" s="1517" t="str">
        <f>$A1428</f>
        <v>1221d</v>
      </c>
      <c r="I1428" s="343" t="s">
        <v>6627</v>
      </c>
      <c r="J1428" s="301" t="s">
        <v>6626</v>
      </c>
      <c r="K1428" s="344">
        <f>L1440</f>
        <v>0</v>
      </c>
      <c r="L1428" s="345" t="str">
        <f>IF($I1428="适用",IF(ROUND(K987-K1428,2)&gt;=0,"","#Logical!"),"#N/A")</f>
        <v>#N/A</v>
      </c>
      <c r="M1428" s="301" t="s">
        <v>6617</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7" hidden="1">
      <c r="A1431" s="2714"/>
      <c r="B1431" s="371"/>
      <c r="C1431" s="371"/>
      <c r="D1431" s="371"/>
      <c r="E1431" s="586" t="s">
        <v>2749</v>
      </c>
      <c r="F1431" s="363"/>
      <c r="G1431" s="3159" t="s">
        <v>6419</v>
      </c>
      <c r="H1431" s="3168" t="s">
        <v>2775</v>
      </c>
      <c r="I1431" s="3168"/>
      <c r="J1431" s="3168"/>
      <c r="K1431" s="3168"/>
      <c r="L1431" s="3169"/>
      <c r="M1431" s="424" t="s">
        <v>5991</v>
      </c>
      <c r="N1431" s="1604"/>
      <c r="O1431" s="1604"/>
      <c r="P1431" s="1604"/>
      <c r="Q1431" s="1604"/>
      <c r="R1431" s="1604"/>
      <c r="S1431" s="364"/>
      <c r="Z1431" s="609" t="s">
        <v>540</v>
      </c>
      <c r="AA1431" s="609" t="s">
        <v>3137</v>
      </c>
      <c r="AE1431" s="369" t="s">
        <v>2761</v>
      </c>
    </row>
    <row r="1432" spans="1:31" ht="17" hidden="1">
      <c r="A1432" s="2714"/>
      <c r="B1432" s="371"/>
      <c r="C1432" s="371"/>
      <c r="D1432" s="371"/>
      <c r="E1432" s="586" t="s">
        <v>2749</v>
      </c>
      <c r="F1432" s="363"/>
      <c r="G1432" s="3160"/>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7"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7"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7"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7"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7"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7"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7"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7.5" hidden="1" thickBot="1">
      <c r="A1440" s="2714"/>
      <c r="B1440" s="371"/>
      <c r="C1440" s="371"/>
      <c r="D1440" s="2716">
        <f t="shared" si="121"/>
        <v>1</v>
      </c>
      <c r="E1440" s="2721" t="s">
        <v>2751</v>
      </c>
      <c r="F1440" s="294"/>
      <c r="G1440" s="310" t="s">
        <v>6418</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7"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7.5" hidden="1" thickTop="1">
      <c r="A1442" s="2714"/>
      <c r="B1442" s="371"/>
      <c r="C1442" s="371" t="s">
        <v>2565</v>
      </c>
      <c r="D1442" s="371"/>
      <c r="F1442" s="294"/>
      <c r="G1442" s="1561" t="s">
        <v>5368</v>
      </c>
      <c r="H1442" s="1550" t="str">
        <f>G1365</f>
        <v>(1)其他应收款按种类列示</v>
      </c>
      <c r="I1442" s="1551"/>
      <c r="J1442" s="1552"/>
      <c r="K1442" s="1551"/>
      <c r="L1442" s="1551"/>
      <c r="M1442" s="1553" t="s">
        <v>5369</v>
      </c>
      <c r="N1442" s="1604"/>
      <c r="O1442" s="1604"/>
      <c r="P1442" s="1604"/>
      <c r="Q1442" s="1604"/>
      <c r="R1442" s="1604"/>
      <c r="S1442" s="364"/>
      <c r="Z1442" s="609" t="s">
        <v>540</v>
      </c>
      <c r="AA1442" s="609" t="s">
        <v>3137</v>
      </c>
    </row>
    <row r="1443" spans="1:31" ht="17"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7"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7"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7"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7"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9" hidden="1">
      <c r="A1449" s="2714" t="s">
        <v>641</v>
      </c>
      <c r="B1449" s="371">
        <v>6</v>
      </c>
      <c r="C1449" s="371"/>
      <c r="D1449" s="2716" t="str">
        <f>VLOOKUP($A1449,Sheet_NoteList,2,0)</f>
        <v>组合中采用余额百分比法计提坏账准备的其他应收款</v>
      </c>
      <c r="E1449" s="2716" t="s">
        <v>6624</v>
      </c>
      <c r="F1449" s="294"/>
      <c r="G1449" s="372" t="str">
        <f>"("&amp;B1449&amp;")"&amp;D1449</f>
        <v>(6)组合中采用余额百分比法计提坏账准备的其他应收款</v>
      </c>
      <c r="H1449" s="1517" t="str">
        <f>$A1449</f>
        <v>1221e</v>
      </c>
      <c r="I1449" s="343" t="s">
        <v>6618</v>
      </c>
      <c r="J1449" s="301" t="s">
        <v>6616</v>
      </c>
      <c r="K1449" s="344">
        <f>H1457-I1457</f>
        <v>0</v>
      </c>
      <c r="L1449" s="345" t="str">
        <f>IF($I1449="适用",IF(ROUND(K987-K1449,2)&gt;=0,"","#Logical!"),"#N/A")</f>
        <v>#N/A</v>
      </c>
      <c r="M1449" s="301" t="s">
        <v>6617</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7" hidden="1">
      <c r="A1451" s="2714"/>
      <c r="B1451" s="371"/>
      <c r="C1451" s="371"/>
      <c r="D1451" s="371"/>
      <c r="E1451" s="586" t="s">
        <v>2749</v>
      </c>
      <c r="F1451" s="363"/>
      <c r="G1451" s="2288" t="s">
        <v>3008</v>
      </c>
      <c r="H1451" s="2290" t="s">
        <v>2861</v>
      </c>
      <c r="I1451" s="2290" t="s">
        <v>2862</v>
      </c>
      <c r="J1451" s="2290" t="s">
        <v>3001</v>
      </c>
      <c r="K1451" s="2281" t="s">
        <v>2994</v>
      </c>
      <c r="L1451" s="424" t="s">
        <v>5991</v>
      </c>
      <c r="M1451" s="291"/>
      <c r="N1451" s="291"/>
      <c r="O1451" s="291"/>
      <c r="S1451" s="364"/>
      <c r="Z1451" s="609" t="s">
        <v>540</v>
      </c>
      <c r="AA1451" s="609" t="s">
        <v>3137</v>
      </c>
      <c r="AE1451" s="369" t="s">
        <v>2761</v>
      </c>
    </row>
    <row r="1452" spans="1:31" ht="17"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6177</v>
      </c>
      <c r="M1452" s="291"/>
      <c r="N1452" s="291"/>
      <c r="O1452" s="291"/>
      <c r="S1452" s="364"/>
      <c r="Z1452" s="609" t="s">
        <v>540</v>
      </c>
      <c r="AA1452" s="609" t="s">
        <v>3137</v>
      </c>
      <c r="AE1452" s="369" t="s">
        <v>2761</v>
      </c>
    </row>
    <row r="1453" spans="1:31" ht="17"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7"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7"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7"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7"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6" hidden="1">
      <c r="A1459" s="2714" t="s">
        <v>647</v>
      </c>
      <c r="B1459" s="371">
        <v>7</v>
      </c>
      <c r="C1459" s="371"/>
      <c r="D1459" s="2716" t="str">
        <f>VLOOKUP($A1459,Sheet_NoteList,2,0)</f>
        <v>组合中采用其他方法计提坏账准备的其他应收款</v>
      </c>
      <c r="E1459" s="2716" t="s">
        <v>6615</v>
      </c>
      <c r="F1459" s="294"/>
      <c r="G1459" s="372" t="str">
        <f>"("&amp;B1459&amp;")"&amp;D1459</f>
        <v>(7)组合中采用其他方法计提坏账准备的其他应收款</v>
      </c>
      <c r="H1459" s="1517" t="str">
        <f>$A1459</f>
        <v>1221f</v>
      </c>
      <c r="I1459" s="343" t="s">
        <v>6613</v>
      </c>
      <c r="J1459" s="301" t="s">
        <v>6611</v>
      </c>
      <c r="K1459" s="344">
        <f>J1467</f>
        <v>0</v>
      </c>
      <c r="L1459" s="345" t="str">
        <f>IF($I1459="适用",IF(ROUND(K$987-K1459,2)&gt;=0,"","#Logical!"),"#N/A")</f>
        <v>#N/A</v>
      </c>
      <c r="M1459" s="301" t="s">
        <v>6617</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7"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5991</v>
      </c>
      <c r="N1461" s="291"/>
      <c r="S1461" s="364"/>
      <c r="Z1461" s="609" t="s">
        <v>540</v>
      </c>
      <c r="AA1461" s="609" t="s">
        <v>3137</v>
      </c>
      <c r="AE1461" s="369" t="s">
        <v>2761</v>
      </c>
    </row>
    <row r="1462" spans="1:31" ht="17"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6177</v>
      </c>
      <c r="N1462" s="291"/>
      <c r="S1462" s="364"/>
      <c r="Z1462" s="609" t="s">
        <v>540</v>
      </c>
      <c r="AA1462" s="609" t="s">
        <v>3137</v>
      </c>
      <c r="AE1462" s="369" t="s">
        <v>2761</v>
      </c>
    </row>
    <row r="1463" spans="1:31" ht="17"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7"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7"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7"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7"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6">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145" t="s">
        <v>6010</v>
      </c>
      <c r="H1472" s="3151" t="str">
        <f>$V$3</f>
        <v>2018年12月31日</v>
      </c>
      <c r="I1472" s="3149" t="s">
        <v>6011</v>
      </c>
      <c r="J1472" s="3151" t="str">
        <f>$X$3</f>
        <v>2019年1月1日</v>
      </c>
      <c r="K1472" s="3179" t="s">
        <v>2919</v>
      </c>
      <c r="L1472" s="3179"/>
      <c r="M1472" s="3179"/>
      <c r="N1472" s="3262" t="str">
        <f>$V$2</f>
        <v>2019年12月31日</v>
      </c>
      <c r="O1472" s="355" t="s">
        <v>5274</v>
      </c>
      <c r="P1472" s="433"/>
      <c r="Q1472" s="442"/>
      <c r="R1472" s="443"/>
      <c r="S1472" s="364"/>
      <c r="Z1472" s="609" t="s">
        <v>540</v>
      </c>
      <c r="AA1472" s="609" t="s">
        <v>3137</v>
      </c>
    </row>
    <row r="1473" spans="1:27" ht="26">
      <c r="A1473" s="2714"/>
      <c r="B1473" s="371"/>
      <c r="C1473" s="371"/>
      <c r="D1473" s="2716"/>
      <c r="E1473" s="586" t="s">
        <v>2749</v>
      </c>
      <c r="F1473" s="414"/>
      <c r="G1473" s="3146"/>
      <c r="H1473" s="3152"/>
      <c r="I1473" s="3150"/>
      <c r="J1473" s="3152"/>
      <c r="K1473" s="2239" t="s">
        <v>6012</v>
      </c>
      <c r="L1473" s="2239" t="s">
        <v>6013</v>
      </c>
      <c r="M1473" s="2294" t="s">
        <v>6014</v>
      </c>
      <c r="N1473" s="3263"/>
      <c r="O1473" s="434"/>
      <c r="P1473" s="435"/>
      <c r="Q1473" s="442"/>
      <c r="R1473" s="443"/>
      <c r="S1473" s="364"/>
      <c r="Z1473" s="609" t="s">
        <v>540</v>
      </c>
      <c r="AA1473" s="609" t="s">
        <v>3137</v>
      </c>
    </row>
    <row r="1474" spans="1:27" ht="17">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7">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7">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7">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7">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7">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7">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7">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7.5" thickTop="1">
      <c r="A1484" s="2714"/>
      <c r="B1484" s="371"/>
      <c r="C1484" s="371" t="s">
        <v>2565</v>
      </c>
      <c r="D1484" s="2716"/>
      <c r="F1484" s="293"/>
      <c r="G1484" s="1549" t="s">
        <v>5368</v>
      </c>
      <c r="H1484" s="1550" t="str">
        <f>G988</f>
        <v>(1)其他应收款按账龄披露</v>
      </c>
      <c r="I1484" s="1551"/>
      <c r="J1484" s="1551"/>
      <c r="K1484" s="1551"/>
      <c r="L1484" s="1551"/>
      <c r="M1484" s="1551"/>
      <c r="N1484" s="1552"/>
      <c r="O1484" s="1553" t="s">
        <v>5369</v>
      </c>
      <c r="P1484" s="425"/>
      <c r="Q1484" s="442"/>
      <c r="R1484" s="442"/>
      <c r="S1484" s="364"/>
      <c r="Z1484" s="609" t="s">
        <v>540</v>
      </c>
      <c r="AA1484" s="609" t="s">
        <v>3137</v>
      </c>
    </row>
    <row r="1485" spans="1:27" ht="17">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7">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7">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7">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6">
      <c r="A1491" s="2714">
        <v>122104</v>
      </c>
      <c r="B1491" s="371">
        <v>4</v>
      </c>
      <c r="C1491" s="371"/>
      <c r="D1491" s="2716" t="str">
        <f>VLOOKUP($A1491,Sheet_NoteList,2,0)</f>
        <v>本期其他应收款坏账准备的变动情况（备选格式）</v>
      </c>
      <c r="E1491" s="2716" t="s">
        <v>6535</v>
      </c>
      <c r="F1491" s="293"/>
      <c r="G1491" s="372" t="str">
        <f>"("&amp;B1491&amp;")"&amp;D1491</f>
        <v>(4)本期其他应收款坏账准备的变动情况（备选格式）</v>
      </c>
      <c r="H1491" s="2315">
        <f>$A1491</f>
        <v>122104</v>
      </c>
      <c r="I1491" s="343" t="s">
        <v>5627</v>
      </c>
      <c r="J1491" s="301" t="s">
        <v>5628</v>
      </c>
      <c r="K1491" s="2210">
        <f>H1508</f>
        <v>0</v>
      </c>
      <c r="L1491" s="349" t="str">
        <f>IF($I1491="适用",IF(ROUND(K$987-K1491,2)=0,"F/S",ROUND(K$987-K1491,2)),"#N/A")</f>
        <v>F/S</v>
      </c>
      <c r="M1491" s="301" t="s">
        <v>5629</v>
      </c>
      <c r="N1491" s="2210">
        <f>I1508</f>
        <v>0</v>
      </c>
      <c r="O1491" s="349" t="str">
        <f>IF($I1491="适用",IF(ROUND(N$987-N1491,2)=0,"F/S",ROUND(N$987-N1491,2)),"#N/A")</f>
        <v>F/S</v>
      </c>
      <c r="P1491" s="301"/>
      <c r="S1491" s="364"/>
      <c r="Z1491" s="609" t="s">
        <v>540</v>
      </c>
      <c r="AA1491" s="609" t="s">
        <v>3137</v>
      </c>
    </row>
    <row r="1492" spans="1:27" ht="0.75" customHeight="1">
      <c r="A1492" s="2714"/>
      <c r="B1492" s="371"/>
      <c r="C1492" s="371"/>
      <c r="D1492" s="2716"/>
      <c r="F1492" s="371"/>
      <c r="G1492" s="405" t="s">
        <v>6346</v>
      </c>
      <c r="H1492" s="371" t="s">
        <v>6347</v>
      </c>
      <c r="I1492" s="371" t="s">
        <v>6348</v>
      </c>
      <c r="J1492" s="371" t="s">
        <v>6349</v>
      </c>
      <c r="K1492" s="547" t="s">
        <v>6350</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6351</v>
      </c>
      <c r="I1493" s="371" t="s">
        <v>6352</v>
      </c>
      <c r="J1493" s="371" t="s">
        <v>6353</v>
      </c>
      <c r="K1493" s="547" t="s">
        <v>6354</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61" t="s">
        <v>5855</v>
      </c>
      <c r="H1494" s="2291" t="s">
        <v>3348</v>
      </c>
      <c r="I1494" s="2291" t="s">
        <v>3349</v>
      </c>
      <c r="J1494" s="2291" t="s">
        <v>3350</v>
      </c>
      <c r="K1494" s="3157" t="s">
        <v>3351</v>
      </c>
      <c r="L1494" s="355" t="s">
        <v>5274</v>
      </c>
      <c r="M1494" s="301"/>
      <c r="N1494" s="391"/>
      <c r="O1494" s="349"/>
      <c r="P1494" s="301"/>
      <c r="S1494" s="364"/>
      <c r="Z1494" s="609" t="s">
        <v>540</v>
      </c>
      <c r="AA1494" s="609" t="s">
        <v>3137</v>
      </c>
    </row>
    <row r="1495" spans="1:27" ht="39">
      <c r="A1495" s="2714"/>
      <c r="B1495" s="371"/>
      <c r="C1495" s="371"/>
      <c r="D1495" s="2716"/>
      <c r="E1495" s="2716" t="s">
        <v>2749</v>
      </c>
      <c r="F1495" s="293"/>
      <c r="G1495" s="3162"/>
      <c r="H1495" s="2294" t="s">
        <v>3352</v>
      </c>
      <c r="I1495" s="2294" t="s">
        <v>3353</v>
      </c>
      <c r="J1495" s="2294" t="s">
        <v>3354</v>
      </c>
      <c r="K1495" s="3158"/>
      <c r="L1495" s="355" t="s">
        <v>6355</v>
      </c>
      <c r="M1495" s="301"/>
      <c r="N1495" s="391"/>
      <c r="O1495" s="349"/>
      <c r="P1495" s="301"/>
      <c r="S1495" s="364"/>
      <c r="Z1495" s="609" t="s">
        <v>540</v>
      </c>
      <c r="AA1495" s="609" t="s">
        <v>3137</v>
      </c>
    </row>
    <row r="1496" spans="1:27" ht="17">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7">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6">
      <c r="A1498" s="2714"/>
      <c r="B1498" s="371">
        <v>103</v>
      </c>
      <c r="C1498" s="371"/>
      <c r="D1498" s="2716">
        <f t="shared" si="133"/>
        <v>1</v>
      </c>
      <c r="E1498" s="2721">
        <v>1</v>
      </c>
      <c r="F1498" s="293"/>
      <c r="G1498" s="1474" t="s">
        <v>5861</v>
      </c>
      <c r="H1498" s="309"/>
      <c r="I1498" s="1465">
        <v>0</v>
      </c>
      <c r="J1498" s="1465">
        <v>0</v>
      </c>
      <c r="K1498" s="1477">
        <f>SUM(H1498:J1498)</f>
        <v>0</v>
      </c>
      <c r="L1498" s="2194"/>
      <c r="M1498" s="301"/>
      <c r="N1498" s="439"/>
      <c r="O1498" s="349"/>
      <c r="P1498" s="301"/>
      <c r="S1498" s="364"/>
      <c r="Z1498" s="609" t="s">
        <v>540</v>
      </c>
      <c r="AA1498" s="609" t="s">
        <v>3137</v>
      </c>
    </row>
    <row r="1499" spans="1:27" ht="26">
      <c r="A1499" s="2714"/>
      <c r="B1499" s="371">
        <v>104</v>
      </c>
      <c r="C1499" s="371"/>
      <c r="D1499" s="2716">
        <f t="shared" si="133"/>
        <v>1</v>
      </c>
      <c r="E1499" s="2721">
        <v>1</v>
      </c>
      <c r="F1499" s="293"/>
      <c r="G1499" s="1474" t="s">
        <v>5862</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6">
      <c r="A1500" s="2714"/>
      <c r="B1500" s="371">
        <v>105</v>
      </c>
      <c r="C1500" s="371"/>
      <c r="D1500" s="2716">
        <f t="shared" si="133"/>
        <v>1</v>
      </c>
      <c r="E1500" s="2721">
        <v>1</v>
      </c>
      <c r="F1500" s="293"/>
      <c r="G1500" s="1474" t="s">
        <v>5863</v>
      </c>
      <c r="H1500" s="1465">
        <v>0</v>
      </c>
      <c r="I1500" s="1465">
        <v>0</v>
      </c>
      <c r="J1500" s="309"/>
      <c r="K1500" s="1477">
        <f t="shared" si="134"/>
        <v>0</v>
      </c>
      <c r="L1500" s="1493"/>
      <c r="M1500" s="301"/>
      <c r="N1500" s="2193"/>
      <c r="O1500" s="349"/>
      <c r="P1500" s="301"/>
      <c r="S1500" s="364"/>
      <c r="Z1500" s="609" t="s">
        <v>540</v>
      </c>
      <c r="AA1500" s="609" t="s">
        <v>3137</v>
      </c>
    </row>
    <row r="1501" spans="1:27" ht="26">
      <c r="A1501" s="2714"/>
      <c r="B1501" s="371">
        <v>106</v>
      </c>
      <c r="C1501" s="371"/>
      <c r="D1501" s="2716">
        <f t="shared" si="133"/>
        <v>1</v>
      </c>
      <c r="E1501" s="2721">
        <v>1</v>
      </c>
      <c r="F1501" s="293"/>
      <c r="G1501" s="1474" t="s">
        <v>5856</v>
      </c>
      <c r="H1501" s="1465">
        <v>0</v>
      </c>
      <c r="I1501" s="309"/>
      <c r="J1501" s="309"/>
      <c r="K1501" s="1477">
        <f t="shared" si="134"/>
        <v>0</v>
      </c>
      <c r="L1501" s="1493"/>
      <c r="M1501" s="301"/>
      <c r="N1501" s="391"/>
      <c r="O1501" s="349"/>
      <c r="P1501" s="301"/>
      <c r="S1501" s="364"/>
      <c r="Z1501" s="609" t="s">
        <v>540</v>
      </c>
      <c r="AA1501" s="609" t="s">
        <v>3137</v>
      </c>
    </row>
    <row r="1502" spans="1:27" ht="17">
      <c r="A1502" s="2714"/>
      <c r="B1502" s="371">
        <v>107</v>
      </c>
      <c r="C1502" s="371"/>
      <c r="D1502" s="2716">
        <f t="shared" si="133"/>
        <v>1</v>
      </c>
      <c r="E1502" s="2721">
        <v>1</v>
      </c>
      <c r="F1502" s="293"/>
      <c r="G1502" s="1474" t="s">
        <v>5857</v>
      </c>
      <c r="H1502" s="309"/>
      <c r="I1502" s="309"/>
      <c r="J1502" s="309"/>
      <c r="K1502" s="1477">
        <f t="shared" si="134"/>
        <v>0</v>
      </c>
      <c r="L1502" s="349"/>
      <c r="M1502" s="301"/>
      <c r="N1502" s="391"/>
      <c r="O1502" s="349"/>
      <c r="P1502" s="301"/>
      <c r="S1502" s="364"/>
      <c r="Z1502" s="609" t="s">
        <v>540</v>
      </c>
      <c r="AA1502" s="609" t="s">
        <v>3137</v>
      </c>
    </row>
    <row r="1503" spans="1:27" ht="17">
      <c r="A1503" s="2714"/>
      <c r="B1503" s="371">
        <v>108</v>
      </c>
      <c r="C1503" s="371"/>
      <c r="D1503" s="2716">
        <f t="shared" si="133"/>
        <v>1</v>
      </c>
      <c r="E1503" s="2721">
        <v>-1</v>
      </c>
      <c r="F1503" s="293"/>
      <c r="G1503" s="1474" t="s">
        <v>5858</v>
      </c>
      <c r="H1503" s="309"/>
      <c r="I1503" s="309"/>
      <c r="J1503" s="309"/>
      <c r="K1503" s="1477">
        <f t="shared" si="134"/>
        <v>0</v>
      </c>
      <c r="L1503" s="349"/>
      <c r="M1503" s="301"/>
      <c r="N1503" s="391"/>
      <c r="O1503" s="349"/>
      <c r="P1503" s="301"/>
      <c r="S1503" s="364"/>
      <c r="Z1503" s="609" t="s">
        <v>540</v>
      </c>
      <c r="AA1503" s="609" t="s">
        <v>3137</v>
      </c>
    </row>
    <row r="1504" spans="1:27" ht="17">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7">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6">
      <c r="A1506" s="2714"/>
      <c r="B1506" s="371">
        <v>111</v>
      </c>
      <c r="C1506" s="371"/>
      <c r="D1506" s="2716">
        <f t="shared" si="133"/>
        <v>1</v>
      </c>
      <c r="E1506" s="2721">
        <v>1</v>
      </c>
      <c r="F1506" s="293"/>
      <c r="G1506" s="1474" t="s">
        <v>5859</v>
      </c>
      <c r="H1506" s="309"/>
      <c r="I1506" s="309"/>
      <c r="J1506" s="309"/>
      <c r="K1506" s="1477">
        <f t="shared" si="134"/>
        <v>0</v>
      </c>
      <c r="L1506" s="349"/>
      <c r="M1506" s="301"/>
      <c r="N1506" s="391"/>
      <c r="O1506" s="349"/>
      <c r="P1506" s="301"/>
      <c r="S1506" s="364"/>
      <c r="Z1506" s="609" t="s">
        <v>540</v>
      </c>
      <c r="AA1506" s="609" t="s">
        <v>3137</v>
      </c>
    </row>
    <row r="1507" spans="1:27" ht="17">
      <c r="A1507" s="2714"/>
      <c r="B1507" s="371">
        <v>112</v>
      </c>
      <c r="C1507" s="371" t="s">
        <v>2791</v>
      </c>
      <c r="D1507" s="2716">
        <f t="shared" si="133"/>
        <v>0</v>
      </c>
      <c r="E1507" s="2721">
        <v>1</v>
      </c>
      <c r="F1507" s="293"/>
      <c r="G1507" s="2190" t="s">
        <v>5860</v>
      </c>
      <c r="H1507" s="309"/>
      <c r="I1507" s="309"/>
      <c r="J1507" s="309"/>
      <c r="K1507" s="361"/>
      <c r="L1507" s="349"/>
      <c r="M1507" s="301"/>
      <c r="N1507" s="391"/>
      <c r="O1507" s="349"/>
      <c r="P1507" s="301"/>
      <c r="S1507" s="364"/>
      <c r="Z1507" s="609" t="s">
        <v>540</v>
      </c>
      <c r="AA1507" s="609" t="s">
        <v>3137</v>
      </c>
    </row>
    <row r="1508" spans="1:27" ht="17.5" thickBot="1">
      <c r="A1508" s="2714"/>
      <c r="B1508" s="371"/>
      <c r="C1508" s="371"/>
      <c r="D1508" s="2716">
        <f t="shared" si="133"/>
        <v>1</v>
      </c>
      <c r="E1508" s="2721" t="s">
        <v>6557</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7">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6">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4"/>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6189</v>
      </c>
      <c r="I1511" s="371" t="s">
        <v>3179</v>
      </c>
      <c r="J1511" s="433"/>
      <c r="K1511" s="433"/>
      <c r="L1511" s="472"/>
      <c r="M1511" s="472"/>
      <c r="N1511" s="472"/>
      <c r="O1511" s="472"/>
      <c r="P1511" s="442"/>
      <c r="Q1511" s="442"/>
      <c r="R1511" s="443"/>
      <c r="S1511" s="364"/>
      <c r="Z1511" s="609" t="s">
        <v>540</v>
      </c>
      <c r="AA1511" s="609" t="s">
        <v>3137</v>
      </c>
    </row>
    <row r="1512" spans="1:27" ht="26">
      <c r="A1512" s="2714"/>
      <c r="B1512" s="371"/>
      <c r="C1512" s="371"/>
      <c r="D1512" s="371"/>
      <c r="E1512" s="586" t="s">
        <v>2749</v>
      </c>
      <c r="F1512" s="363"/>
      <c r="G1512" s="2533" t="s">
        <v>1465</v>
      </c>
      <c r="H1512" s="2534" t="s">
        <v>2922</v>
      </c>
      <c r="I1512" s="2535" t="s">
        <v>2923</v>
      </c>
      <c r="J1512" s="355" t="s">
        <v>5274</v>
      </c>
      <c r="K1512" s="479"/>
      <c r="L1512" s="472"/>
      <c r="M1512" s="472"/>
      <c r="N1512" s="472"/>
      <c r="O1512" s="472"/>
      <c r="P1512" s="442"/>
      <c r="Q1512" s="442"/>
      <c r="R1512" s="443"/>
      <c r="S1512" s="364"/>
      <c r="Z1512" s="609" t="s">
        <v>540</v>
      </c>
      <c r="AA1512" s="609" t="s">
        <v>3137</v>
      </c>
    </row>
    <row r="1513" spans="1:27" ht="17">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7">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7">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7">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7">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7">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6">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t="str">
        <f>IF($I1520="适用",IF(ROUND(N$987-N1520,2)=0,"F/S",ROUND(N$987-N1520,2)),"#N/A")</f>
        <v>F/S</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7">
      <c r="A1522" s="2714"/>
      <c r="B1522" s="371"/>
      <c r="C1522" s="371"/>
      <c r="D1522" s="2716"/>
      <c r="E1522" s="586" t="s">
        <v>2749</v>
      </c>
      <c r="F1522" s="414"/>
      <c r="G1522" s="2533" t="s">
        <v>5134</v>
      </c>
      <c r="H1522" s="2535" t="s">
        <v>2925</v>
      </c>
      <c r="I1522" s="355" t="s">
        <v>5274</v>
      </c>
      <c r="J1522" s="435"/>
      <c r="K1522" s="434"/>
      <c r="L1522" s="434"/>
      <c r="M1522" s="435"/>
      <c r="N1522" s="434"/>
      <c r="O1522" s="434"/>
      <c r="P1522" s="435"/>
      <c r="Q1522" s="442"/>
      <c r="R1522" s="443"/>
      <c r="S1522" s="364"/>
      <c r="Z1522" s="609" t="s">
        <v>540</v>
      </c>
      <c r="AA1522" s="609" t="s">
        <v>3137</v>
      </c>
    </row>
    <row r="1523" spans="1:27" ht="17">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7">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7">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6">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4"/>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6">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5274</v>
      </c>
      <c r="N1529" s="291"/>
      <c r="O1529" s="291"/>
      <c r="S1529" s="364"/>
      <c r="Z1529" s="609" t="s">
        <v>540</v>
      </c>
      <c r="AA1529" s="609" t="s">
        <v>3137</v>
      </c>
    </row>
    <row r="1530" spans="1:27" ht="17">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7">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7">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7">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7">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7">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6">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4"/>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9">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5274</v>
      </c>
      <c r="N1540" s="291"/>
      <c r="O1540" s="291"/>
      <c r="P1540" s="291"/>
      <c r="S1540" s="364"/>
      <c r="Z1540" s="609" t="s">
        <v>540</v>
      </c>
      <c r="AA1540" s="609" t="s">
        <v>3137</v>
      </c>
    </row>
    <row r="1541" spans="1:27" ht="26">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7">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7">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7">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7">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7">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6">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9">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7">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7">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7">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7">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7">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7">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7">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6">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4"/>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39">
      <c r="A1559" s="2714"/>
      <c r="B1559" s="371"/>
      <c r="C1559" s="371"/>
      <c r="D1559" s="371"/>
      <c r="E1559" s="586" t="s">
        <v>2749</v>
      </c>
      <c r="F1559" s="363"/>
      <c r="G1559" s="2533" t="s">
        <v>1465</v>
      </c>
      <c r="H1559" s="2534" t="s">
        <v>3199</v>
      </c>
      <c r="I1559" s="2555" t="str">
        <f>$W$2&amp;"余额"</f>
        <v>2019年12月31日余额</v>
      </c>
      <c r="J1559" s="2543" t="s">
        <v>6130</v>
      </c>
      <c r="K1559" s="2535" t="s">
        <v>3200</v>
      </c>
      <c r="L1559" s="355" t="s">
        <v>5274</v>
      </c>
      <c r="M1559" s="291"/>
      <c r="N1559" s="291"/>
      <c r="O1559" s="291"/>
      <c r="S1559" s="364"/>
      <c r="Z1559" s="609" t="s">
        <v>540</v>
      </c>
      <c r="AA1559" s="609" t="s">
        <v>3137</v>
      </c>
    </row>
    <row r="1560" spans="1:27" ht="17">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7">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7">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7">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7">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7">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6">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4"/>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39">
      <c r="A1569" s="2714"/>
      <c r="B1569" s="371"/>
      <c r="C1569" s="371"/>
      <c r="D1569" s="371"/>
      <c r="E1569" s="586" t="s">
        <v>2749</v>
      </c>
      <c r="F1569" s="363"/>
      <c r="G1569" s="2533" t="s">
        <v>47</v>
      </c>
      <c r="H1569" s="2534" t="s">
        <v>3063</v>
      </c>
      <c r="I1569" s="2534" t="s">
        <v>3064</v>
      </c>
      <c r="J1569" s="2535" t="s">
        <v>3065</v>
      </c>
      <c r="K1569" s="355" t="s">
        <v>5274</v>
      </c>
      <c r="L1569" s="291"/>
      <c r="M1569" s="291"/>
      <c r="S1569" s="364"/>
      <c r="Z1569" s="609" t="s">
        <v>540</v>
      </c>
      <c r="AA1569" s="609" t="s">
        <v>3137</v>
      </c>
    </row>
    <row r="1570" spans="1:27" ht="17">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7">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7">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7">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7">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7">
      <c r="A1576" s="2714"/>
      <c r="B1576" s="371"/>
      <c r="C1576" s="371" t="s">
        <v>2755</v>
      </c>
      <c r="D1576" s="371"/>
      <c r="F1576" s="294"/>
      <c r="G1576" s="301"/>
      <c r="H1576" s="393"/>
      <c r="I1576" s="315"/>
      <c r="J1576" s="315"/>
      <c r="K1576" s="291"/>
      <c r="L1576" s="291"/>
      <c r="M1576" s="291"/>
      <c r="S1576" s="364"/>
      <c r="Z1576" s="609" t="s">
        <v>540</v>
      </c>
      <c r="AA1576" s="609" t="s">
        <v>3137</v>
      </c>
    </row>
    <row r="1577" spans="1:27" ht="39">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4"/>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6214</v>
      </c>
      <c r="J1578" s="371" t="s">
        <v>3203</v>
      </c>
      <c r="K1578" s="472"/>
      <c r="L1578" s="472"/>
      <c r="M1578" s="472"/>
      <c r="N1578" s="442"/>
      <c r="O1578" s="442"/>
      <c r="P1578" s="442"/>
      <c r="Q1578" s="442"/>
      <c r="R1578" s="443"/>
      <c r="S1578" s="364"/>
      <c r="Z1578" s="609" t="s">
        <v>540</v>
      </c>
      <c r="AA1578" s="609" t="s">
        <v>3137</v>
      </c>
    </row>
    <row r="1579" spans="1:27" ht="26">
      <c r="A1579" s="2714"/>
      <c r="B1579" s="371"/>
      <c r="C1579" s="371"/>
      <c r="D1579" s="371"/>
      <c r="E1579" s="586" t="s">
        <v>2749</v>
      </c>
      <c r="F1579" s="363"/>
      <c r="G1579" s="2533" t="s">
        <v>47</v>
      </c>
      <c r="H1579" s="2534" t="s">
        <v>3068</v>
      </c>
      <c r="I1579" s="2534" t="s">
        <v>3069</v>
      </c>
      <c r="J1579" s="2535" t="s">
        <v>3070</v>
      </c>
      <c r="K1579" s="355" t="s">
        <v>5274</v>
      </c>
      <c r="L1579" s="472"/>
      <c r="M1579" s="472"/>
      <c r="N1579" s="442"/>
      <c r="O1579" s="442"/>
      <c r="P1579" s="442"/>
      <c r="Q1579" s="442"/>
      <c r="R1579" s="443"/>
      <c r="S1579" s="364"/>
      <c r="Z1579" s="609" t="s">
        <v>540</v>
      </c>
      <c r="AA1579" s="609" t="s">
        <v>3137</v>
      </c>
    </row>
    <row r="1580" spans="1:27" ht="17">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7">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7">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7">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7">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7">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7">
      <c r="A1587" s="2714" t="s">
        <v>629</v>
      </c>
      <c r="B1587" s="371">
        <v>10</v>
      </c>
      <c r="C1587" s="371"/>
      <c r="D1587" s="2716" t="str">
        <f>VLOOKUP($A1587,Sheet_NoteList,2,0)</f>
        <v>外币其他应收款</v>
      </c>
      <c r="E1587" s="2716" t="s">
        <v>6533</v>
      </c>
      <c r="F1587" s="294"/>
      <c r="G1587" s="372" t="str">
        <f>"("&amp;B1587&amp;")"&amp;D1587</f>
        <v>(10)外币其他应收款</v>
      </c>
      <c r="H1587" s="1517" t="str">
        <f>$A1587</f>
        <v>1221c</v>
      </c>
      <c r="I1587" s="343" t="s">
        <v>5609</v>
      </c>
      <c r="J1587" s="301" t="s">
        <v>5607</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6">
      <c r="A1589" s="2714"/>
      <c r="B1589" s="371"/>
      <c r="C1589" s="371"/>
      <c r="D1589" s="371"/>
      <c r="E1589" s="2716" t="s">
        <v>2749</v>
      </c>
      <c r="F1589" s="294"/>
      <c r="G1589" s="1633" t="s">
        <v>1371</v>
      </c>
      <c r="H1589" s="1631" t="s">
        <v>3076</v>
      </c>
      <c r="I1589" s="1631" t="s">
        <v>3077</v>
      </c>
      <c r="J1589" s="1632" t="s">
        <v>3078</v>
      </c>
      <c r="K1589" s="355" t="s">
        <v>5605</v>
      </c>
      <c r="L1589" s="291"/>
      <c r="M1589" s="291"/>
      <c r="N1589" s="291"/>
      <c r="O1589" s="291"/>
      <c r="P1589" s="291"/>
      <c r="Q1589" s="367"/>
      <c r="R1589" s="367"/>
      <c r="S1589" s="364"/>
      <c r="Z1589" s="609" t="s">
        <v>540</v>
      </c>
      <c r="AA1589" s="609" t="s">
        <v>3137</v>
      </c>
    </row>
    <row r="1590" spans="1:27" ht="17">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5365</v>
      </c>
      <c r="L1590" s="1522" t="s">
        <v>5366</v>
      </c>
      <c r="M1590" s="291"/>
      <c r="N1590" s="291"/>
      <c r="O1590" s="291"/>
      <c r="P1590" s="291"/>
      <c r="Q1590" s="367"/>
      <c r="R1590" s="367"/>
      <c r="S1590" s="364"/>
      <c r="Z1590" s="609" t="s">
        <v>540</v>
      </c>
      <c r="AA1590" s="609" t="s">
        <v>3137</v>
      </c>
    </row>
    <row r="1591" spans="1:27" ht="17">
      <c r="A1591" s="2714"/>
      <c r="B1591" s="371">
        <v>102</v>
      </c>
      <c r="C1591" s="371" t="s">
        <v>2791</v>
      </c>
      <c r="D1591" s="2716">
        <f t="shared" si="141"/>
        <v>1</v>
      </c>
      <c r="E1591" s="2721">
        <v>1</v>
      </c>
      <c r="F1591" s="294"/>
      <c r="G1591" s="1634" t="s">
        <v>3080</v>
      </c>
      <c r="H1591" s="309"/>
      <c r="I1591" s="360"/>
      <c r="J1591" s="346"/>
      <c r="K1591" s="355" t="s">
        <v>6177</v>
      </c>
      <c r="L1591" s="291"/>
      <c r="M1591" s="291"/>
      <c r="N1591" s="291"/>
      <c r="O1591" s="291"/>
      <c r="P1591" s="291"/>
      <c r="Q1591" s="367"/>
      <c r="R1591" s="367"/>
      <c r="S1591" s="364"/>
      <c r="Z1591" s="609" t="s">
        <v>540</v>
      </c>
      <c r="AA1591" s="609" t="s">
        <v>3137</v>
      </c>
    </row>
    <row r="1592" spans="1:27" ht="17">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7">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7">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7">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6">
      <c r="A1597" s="2714" t="s">
        <v>654</v>
      </c>
      <c r="B1597" s="371">
        <v>11</v>
      </c>
      <c r="C1597" s="371"/>
      <c r="D1597" s="2716" t="str">
        <f>VLOOKUP($A1597,Sheet_NoteList,2,0)</f>
        <v>关联方应收应付款项——其他应收款</v>
      </c>
      <c r="E1597" s="2716" t="s">
        <v>6533</v>
      </c>
      <c r="F1597" s="294"/>
      <c r="G1597" s="372" t="str">
        <f>"("&amp;B1597&amp;")"&amp;D1597</f>
        <v>(11)关联方应收应付款项——其他应收款</v>
      </c>
      <c r="H1597" s="1517" t="str">
        <f>$A1597</f>
        <v>1221m</v>
      </c>
      <c r="I1597" s="343" t="s">
        <v>5612</v>
      </c>
      <c r="J1597" s="301" t="s">
        <v>5610</v>
      </c>
      <c r="K1597" s="2210">
        <f>H1605-I1605</f>
        <v>0</v>
      </c>
      <c r="L1597" s="345"/>
      <c r="M1597" s="301" t="s">
        <v>5611</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6">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7">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5365</v>
      </c>
      <c r="M1600" s="1522" t="s">
        <v>5606</v>
      </c>
      <c r="N1600" s="291"/>
      <c r="S1600" s="364"/>
      <c r="Z1600" s="609" t="s">
        <v>540</v>
      </c>
      <c r="AA1600" s="609" t="s">
        <v>3137</v>
      </c>
    </row>
    <row r="1601" spans="1:27" ht="17">
      <c r="A1601" s="2714"/>
      <c r="B1601" s="371">
        <v>102</v>
      </c>
      <c r="C1601" s="371" t="s">
        <v>2791</v>
      </c>
      <c r="D1601" s="2716">
        <f t="shared" si="142"/>
        <v>0</v>
      </c>
      <c r="E1601" s="2721">
        <v>1</v>
      </c>
      <c r="F1601" s="294"/>
      <c r="G1601" s="1634" t="s">
        <v>2792</v>
      </c>
      <c r="H1601" s="309"/>
      <c r="I1601" s="309"/>
      <c r="J1601" s="309"/>
      <c r="K1601" s="346"/>
      <c r="L1601" s="355" t="s">
        <v>6177</v>
      </c>
      <c r="M1601" s="291"/>
      <c r="N1601" s="291"/>
      <c r="S1601" s="364"/>
      <c r="Z1601" s="609" t="s">
        <v>540</v>
      </c>
      <c r="AA1601" s="609" t="s">
        <v>3137</v>
      </c>
    </row>
    <row r="1602" spans="1:27" ht="17">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7">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7">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7">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7">
      <c r="A1607" s="2714" t="s">
        <v>663</v>
      </c>
      <c r="B1607" s="371">
        <v>12</v>
      </c>
      <c r="C1607" s="371"/>
      <c r="D1607" s="2716" t="str">
        <f>VLOOKUP($A1607,Sheet_NoteList,2,0)</f>
        <v>其他应收款补充资料</v>
      </c>
      <c r="E1607" s="2716" t="s">
        <v>6533</v>
      </c>
      <c r="F1607" s="294"/>
      <c r="G1607" s="483" t="str">
        <f>"("&amp;B1607&amp;")"&amp;D1607</f>
        <v>(12)其他应收款补充资料</v>
      </c>
      <c r="H1607" s="1517" t="str">
        <f>$A1607</f>
        <v>1221x</v>
      </c>
      <c r="I1607" s="343" t="s">
        <v>5966</v>
      </c>
      <c r="J1607" s="301" t="s">
        <v>5964</v>
      </c>
      <c r="K1607" s="2210">
        <f>M1614</f>
        <v>0</v>
      </c>
      <c r="L1607" s="345"/>
      <c r="M1607" s="301" t="s">
        <v>5968</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7">
      <c r="A1610" s="2714"/>
      <c r="B1610" s="371"/>
      <c r="C1610" s="371"/>
      <c r="D1610" s="371"/>
      <c r="E1610" s="586" t="s">
        <v>2749</v>
      </c>
      <c r="F1610" s="363"/>
      <c r="G1610" s="3147" t="s">
        <v>47</v>
      </c>
      <c r="H1610" s="3178" t="s">
        <v>2776</v>
      </c>
      <c r="I1610" s="3178" t="s">
        <v>3027</v>
      </c>
      <c r="J1610" s="3178"/>
      <c r="K1610" s="3178" t="s">
        <v>3028</v>
      </c>
      <c r="L1610" s="3178"/>
      <c r="M1610" s="3178"/>
      <c r="N1610" s="3188" t="s">
        <v>2775</v>
      </c>
      <c r="O1610" s="355" t="s">
        <v>6177</v>
      </c>
      <c r="P1610" s="291"/>
      <c r="S1610" s="364"/>
      <c r="Z1610" s="609" t="s">
        <v>540</v>
      </c>
      <c r="AA1610" s="609" t="s">
        <v>3137</v>
      </c>
    </row>
    <row r="1611" spans="1:27" ht="17">
      <c r="A1611" s="2714"/>
      <c r="B1611" s="371"/>
      <c r="C1611" s="371"/>
      <c r="D1611" s="371"/>
      <c r="E1611" s="586" t="s">
        <v>2749</v>
      </c>
      <c r="F1611" s="363"/>
      <c r="G1611" s="3148"/>
      <c r="H1611" s="3275"/>
      <c r="I1611" s="2295" t="s">
        <v>2920</v>
      </c>
      <c r="J1611" s="2295" t="s">
        <v>932</v>
      </c>
      <c r="K1611" s="2295" t="s">
        <v>3029</v>
      </c>
      <c r="L1611" s="2295" t="s">
        <v>3030</v>
      </c>
      <c r="M1611" s="2295" t="s">
        <v>932</v>
      </c>
      <c r="N1611" s="3272"/>
      <c r="O1611" s="355"/>
      <c r="P1611" s="291"/>
      <c r="S1611" s="364"/>
      <c r="Z1611" s="609" t="s">
        <v>540</v>
      </c>
      <c r="AA1611" s="609" t="s">
        <v>3137</v>
      </c>
    </row>
    <row r="1612" spans="1:27" ht="17">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7">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7">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7">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5657</v>
      </c>
    </row>
    <row r="1617" spans="1:29" ht="17">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5657</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5657</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5657</v>
      </c>
    </row>
    <row r="1620" spans="1:29" ht="17">
      <c r="A1620" s="2714"/>
      <c r="B1620" s="371"/>
      <c r="C1620" s="371"/>
      <c r="D1620" s="371"/>
      <c r="E1620" s="586" t="s">
        <v>2749</v>
      </c>
      <c r="F1620" s="363"/>
      <c r="G1620" s="3170" t="s">
        <v>3216</v>
      </c>
      <c r="H1620" s="3231" t="str">
        <f>$V$2</f>
        <v>2019年12月31日</v>
      </c>
      <c r="I1620" s="3245"/>
      <c r="J1620" s="3232"/>
      <c r="K1620" s="3231" t="str">
        <f>$V$3</f>
        <v>2018年12月31日</v>
      </c>
      <c r="L1620" s="3245"/>
      <c r="M1620" s="3245"/>
      <c r="N1620" s="355" t="s">
        <v>5275</v>
      </c>
      <c r="O1620" s="291"/>
      <c r="P1620" s="291"/>
      <c r="Q1620" s="367"/>
      <c r="R1620" s="367"/>
      <c r="S1620" s="364"/>
      <c r="Z1620" s="609" t="s">
        <v>670</v>
      </c>
      <c r="AA1620" s="609" t="s">
        <v>5657</v>
      </c>
    </row>
    <row r="1621" spans="1:29" ht="17">
      <c r="A1621" s="2714"/>
      <c r="B1621" s="371"/>
      <c r="C1621" s="371"/>
      <c r="D1621" s="371"/>
      <c r="E1621" s="586" t="s">
        <v>2749</v>
      </c>
      <c r="F1621" s="363"/>
      <c r="G1621" s="3171"/>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5657</v>
      </c>
    </row>
    <row r="1622" spans="1:29" ht="17">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5657</v>
      </c>
      <c r="AC1622" s="369" t="s">
        <v>6575</v>
      </c>
    </row>
    <row r="1623" spans="1:29" ht="17">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5657</v>
      </c>
      <c r="AC1623" s="369" t="s">
        <v>6575</v>
      </c>
    </row>
    <row r="1624" spans="1:29" ht="17">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5657</v>
      </c>
      <c r="AC1624" s="369" t="s">
        <v>6575</v>
      </c>
    </row>
    <row r="1625" spans="1:29" ht="17">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5657</v>
      </c>
      <c r="AC1625" s="369" t="s">
        <v>6575</v>
      </c>
    </row>
    <row r="1626" spans="1:29" ht="17">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5657</v>
      </c>
      <c r="AC1626" s="369" t="s">
        <v>6575</v>
      </c>
    </row>
    <row r="1627" spans="1:29" ht="26">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5657</v>
      </c>
      <c r="AC1627" s="369" t="s">
        <v>6575</v>
      </c>
    </row>
    <row r="1628" spans="1:29" ht="17">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5657</v>
      </c>
      <c r="AC1628" s="369" t="s">
        <v>6575</v>
      </c>
    </row>
    <row r="1629" spans="1:29" ht="17">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5657</v>
      </c>
      <c r="AC1629" s="369" t="s">
        <v>6575</v>
      </c>
    </row>
    <row r="1630" spans="1:29" ht="17">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5657</v>
      </c>
      <c r="AC1630" s="369" t="s">
        <v>2794</v>
      </c>
    </row>
    <row r="1631" spans="1:29" ht="17">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5657</v>
      </c>
    </row>
    <row r="1632" spans="1:29" ht="17">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5657</v>
      </c>
    </row>
    <row r="1633" spans="1:27" ht="17">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5657</v>
      </c>
    </row>
    <row r="1634" spans="1:27" ht="1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5657</v>
      </c>
    </row>
    <row r="1635" spans="1:27" ht="17">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5657</v>
      </c>
    </row>
    <row r="1636" spans="1:27" ht="26">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4"/>
      <c r="L1636" s="315"/>
      <c r="M1636" s="301"/>
      <c r="N1636" s="355"/>
      <c r="O1636" s="315"/>
      <c r="P1636" s="301"/>
      <c r="Q1636" s="290" t="str">
        <f>IF($I1636="不适用","",IF(ROUND(SUM($H$1641:$M$1653),2)=0,"请输入",""))</f>
        <v>请输入</v>
      </c>
      <c r="S1636" s="364"/>
      <c r="Z1636" s="609" t="s">
        <v>670</v>
      </c>
      <c r="AA1636" s="609" t="s">
        <v>5657</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5657</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5657</v>
      </c>
    </row>
    <row r="1639" spans="1:27" ht="17.5" thickTop="1">
      <c r="A1639" s="2714"/>
      <c r="B1639" s="371"/>
      <c r="C1639" s="371"/>
      <c r="D1639" s="371"/>
      <c r="E1639" s="586" t="s">
        <v>2749</v>
      </c>
      <c r="F1639" s="363"/>
      <c r="G1639" s="3170" t="s">
        <v>3216</v>
      </c>
      <c r="H1639" s="3246" t="str">
        <f>$V$3</f>
        <v>2018年12月31日</v>
      </c>
      <c r="I1639" s="3202" t="s">
        <v>5355</v>
      </c>
      <c r="J1639" s="3202"/>
      <c r="K1639" s="3202" t="s">
        <v>5356</v>
      </c>
      <c r="L1639" s="3202"/>
      <c r="M1639" s="3220" t="str">
        <f>$V$2</f>
        <v>2019年12月31日</v>
      </c>
      <c r="N1639" s="423"/>
      <c r="O1639" s="1540" t="str">
        <f>H1617&amp;"&gt;本期:"&amp;""</f>
        <v>1400a&gt;本期:</v>
      </c>
      <c r="P1639" s="1536" t="str">
        <f>""&amp;"&gt;上期:"&amp;""</f>
        <v>&gt;上期:</v>
      </c>
      <c r="S1639" s="364"/>
      <c r="Z1639" s="609" t="s">
        <v>670</v>
      </c>
      <c r="AA1639" s="609" t="s">
        <v>5657</v>
      </c>
    </row>
    <row r="1640" spans="1:27" ht="17">
      <c r="A1640" s="2714"/>
      <c r="B1640" s="371"/>
      <c r="C1640" s="371"/>
      <c r="D1640" s="371"/>
      <c r="E1640" s="586" t="s">
        <v>2749</v>
      </c>
      <c r="F1640" s="363"/>
      <c r="G1640" s="3171"/>
      <c r="H1640" s="3247"/>
      <c r="I1640" s="2283" t="s">
        <v>2920</v>
      </c>
      <c r="J1640" s="2283" t="s">
        <v>932</v>
      </c>
      <c r="K1640" s="2283" t="s">
        <v>3223</v>
      </c>
      <c r="L1640" s="2283" t="s">
        <v>932</v>
      </c>
      <c r="M1640" s="3221"/>
      <c r="N1640" s="423"/>
      <c r="O1640" s="1537" t="str">
        <f>I1621</f>
        <v>跌价准备</v>
      </c>
      <c r="P1640" s="1538" t="str">
        <f>L1621</f>
        <v>跌价准备</v>
      </c>
      <c r="S1640" s="364"/>
      <c r="Z1640" s="609" t="s">
        <v>670</v>
      </c>
      <c r="AA1640" s="609" t="s">
        <v>5657</v>
      </c>
    </row>
    <row r="1641" spans="1:27" ht="17">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5657</v>
      </c>
    </row>
    <row r="1642" spans="1:27" ht="17">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5657</v>
      </c>
    </row>
    <row r="1643" spans="1:27" ht="17">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5657</v>
      </c>
    </row>
    <row r="1644" spans="1:27" ht="17">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5657</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5657</v>
      </c>
    </row>
    <row r="1646" spans="1:27" ht="26">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5657</v>
      </c>
    </row>
    <row r="1647" spans="1:27" ht="17">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5657</v>
      </c>
    </row>
    <row r="1648" spans="1:27" ht="17">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5657</v>
      </c>
    </row>
    <row r="1649" spans="1:29" ht="17">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5657</v>
      </c>
    </row>
    <row r="1650" spans="1:29" ht="17">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5657</v>
      </c>
    </row>
    <row r="1651" spans="1:29" ht="17">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5657</v>
      </c>
    </row>
    <row r="1652" spans="1:29" ht="17">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5657</v>
      </c>
    </row>
    <row r="1653" spans="1:29" ht="1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HYPERLINK("#'"&amp;$G$1&amp;"'!"&amp;ADDRESS(ROW(Notes!L4880),COLUMN(Notes!L4880),4),"*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5657</v>
      </c>
      <c r="AC1653" s="369" t="s">
        <v>2794</v>
      </c>
    </row>
    <row r="1654" spans="1:29" ht="17">
      <c r="A1654" s="2714"/>
      <c r="B1654" s="371"/>
      <c r="C1654" s="371" t="s">
        <v>2755</v>
      </c>
      <c r="D1654" s="371"/>
      <c r="F1654" s="294"/>
      <c r="G1654" s="301"/>
      <c r="H1654" s="315"/>
      <c r="I1654" s="315"/>
      <c r="J1654" s="315"/>
      <c r="K1654" s="315"/>
      <c r="L1654" s="315"/>
      <c r="M1654" s="315"/>
      <c r="N1654" s="423"/>
      <c r="O1654" s="1539" t="s">
        <v>5367</v>
      </c>
      <c r="P1654" s="354"/>
      <c r="S1654" s="364"/>
      <c r="Z1654" s="609" t="s">
        <v>670</v>
      </c>
      <c r="AA1654" s="609" t="s">
        <v>5657</v>
      </c>
    </row>
    <row r="1655" spans="1:29" ht="26">
      <c r="A1655" s="2714" t="s">
        <v>678</v>
      </c>
      <c r="B1655" s="371">
        <v>3</v>
      </c>
      <c r="C1655" s="371"/>
      <c r="D1655" s="2716" t="str">
        <f>VLOOKUP($A1655,Sheet_NoteList,2,0)</f>
        <v>存货期末余额中含有借款费用资本化金额的说明</v>
      </c>
      <c r="E1655" s="2716" t="s">
        <v>6533</v>
      </c>
      <c r="F1655" s="294"/>
      <c r="G1655" s="372" t="str">
        <f>"("&amp;B1655&amp;")"&amp;D1655</f>
        <v>(3)存货期末余额中含有借款费用资本化金额的说明</v>
      </c>
      <c r="H1655" s="1517" t="str">
        <f>$A1655</f>
        <v>1400t</v>
      </c>
      <c r="I1655" s="343" t="s">
        <v>5973</v>
      </c>
      <c r="J1655" s="301"/>
      <c r="K1655" s="3084"/>
      <c r="L1655" s="315"/>
      <c r="M1655" s="301"/>
      <c r="N1655" s="3084"/>
      <c r="O1655" s="315"/>
      <c r="P1655" s="301"/>
      <c r="Q1655" s="290" t="str">
        <f>IF($I1655="不适用","",IF(ROUND(SUM($H$1658:$I$1663),2)=0,"请输入",""))</f>
        <v>请输入</v>
      </c>
      <c r="S1655" s="364"/>
      <c r="Z1655" s="609" t="s">
        <v>670</v>
      </c>
      <c r="AA1655" s="609" t="s">
        <v>5657</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5657</v>
      </c>
    </row>
    <row r="1657" spans="1:29" ht="39">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5657</v>
      </c>
    </row>
    <row r="1658" spans="1:29" ht="17">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5657</v>
      </c>
    </row>
    <row r="1659" spans="1:29" ht="17">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5657</v>
      </c>
    </row>
    <row r="1660" spans="1:29" ht="17">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5657</v>
      </c>
    </row>
    <row r="1661" spans="1:29" ht="17">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5657</v>
      </c>
    </row>
    <row r="1662" spans="1:29" ht="17">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5657</v>
      </c>
    </row>
    <row r="1663" spans="1:29" ht="1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5657</v>
      </c>
    </row>
    <row r="1664" spans="1:29" ht="17">
      <c r="A1664" s="2714"/>
      <c r="B1664" s="371"/>
      <c r="C1664" s="371" t="s">
        <v>2755</v>
      </c>
      <c r="D1664" s="371"/>
      <c r="F1664" s="294"/>
      <c r="G1664" s="301"/>
      <c r="H1664" s="315"/>
      <c r="I1664" s="393"/>
      <c r="J1664" s="533"/>
      <c r="K1664" s="291"/>
      <c r="L1664" s="291"/>
      <c r="M1664" s="291"/>
      <c r="N1664" s="291"/>
      <c r="O1664" s="291"/>
      <c r="S1664" s="364"/>
      <c r="Z1664" s="609" t="s">
        <v>670</v>
      </c>
      <c r="AA1664" s="609" t="s">
        <v>5657</v>
      </c>
    </row>
    <row r="1665" spans="1:27" ht="26">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4"/>
      <c r="O1665" s="315"/>
      <c r="P1665" s="301"/>
      <c r="Q1665" s="290" t="str">
        <f>IF($I1665="不适用","",IF(ROUND(SUM($H$1668:$I$1673),2)=0,"请输入",""))</f>
        <v>请输入</v>
      </c>
      <c r="S1665" s="364"/>
      <c r="Z1665" s="609" t="s">
        <v>670</v>
      </c>
      <c r="AA1665" s="609" t="s">
        <v>5657</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5657</v>
      </c>
    </row>
    <row r="1667" spans="1:27" ht="26">
      <c r="A1667" s="2714"/>
      <c r="B1667" s="371"/>
      <c r="C1667" s="371"/>
      <c r="D1667" s="371"/>
      <c r="E1667" s="586" t="s">
        <v>2749</v>
      </c>
      <c r="F1667" s="363"/>
      <c r="G1667" s="2540" t="s">
        <v>47</v>
      </c>
      <c r="H1667" s="2578" t="str">
        <f>$V$2</f>
        <v>2019年12月31日</v>
      </c>
      <c r="I1667" s="355" t="s">
        <v>5275</v>
      </c>
      <c r="J1667" s="537"/>
      <c r="K1667" s="537"/>
      <c r="L1667" s="472"/>
      <c r="M1667" s="472"/>
      <c r="N1667" s="472"/>
      <c r="O1667" s="472"/>
      <c r="P1667" s="442"/>
      <c r="Q1667" s="442"/>
      <c r="R1667" s="443"/>
      <c r="S1667" s="364"/>
      <c r="Z1667" s="609" t="s">
        <v>670</v>
      </c>
      <c r="AA1667" s="609" t="s">
        <v>5657</v>
      </c>
    </row>
    <row r="1668" spans="1:27" ht="17">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5657</v>
      </c>
    </row>
    <row r="1669" spans="1:27" ht="17">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5657</v>
      </c>
    </row>
    <row r="1670" spans="1:27" ht="17">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5657</v>
      </c>
    </row>
    <row r="1671" spans="1:27" ht="17">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5657</v>
      </c>
    </row>
    <row r="1672" spans="1:27" ht="17">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5657</v>
      </c>
    </row>
    <row r="1673" spans="1:27" ht="26.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5657</v>
      </c>
    </row>
    <row r="1674" spans="1:27" ht="1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5657</v>
      </c>
    </row>
    <row r="1675" spans="1:27" ht="17.5" thickTop="1">
      <c r="A1675" s="2714"/>
      <c r="B1675" s="371"/>
      <c r="C1675" s="371" t="s">
        <v>2565</v>
      </c>
      <c r="D1675" s="371"/>
      <c r="F1675" s="294"/>
      <c r="G1675" s="1561" t="s">
        <v>5368</v>
      </c>
      <c r="H1675" s="1550" t="str">
        <f>G1617</f>
        <v>(1)存货分类列示</v>
      </c>
      <c r="I1675" s="1553" t="s">
        <v>5369</v>
      </c>
      <c r="J1675" s="472"/>
      <c r="K1675" s="472"/>
      <c r="L1675" s="472"/>
      <c r="M1675" s="472"/>
      <c r="N1675" s="472"/>
      <c r="O1675" s="472"/>
      <c r="P1675" s="442"/>
      <c r="Q1675" s="442"/>
      <c r="R1675" s="442"/>
      <c r="S1675" s="364"/>
      <c r="Z1675" s="609" t="s">
        <v>670</v>
      </c>
      <c r="AA1675" s="609" t="s">
        <v>5657</v>
      </c>
    </row>
    <row r="1676" spans="1:27" ht="26">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5657</v>
      </c>
    </row>
    <row r="1677" spans="1:27" ht="26">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5657</v>
      </c>
    </row>
    <row r="1678" spans="1:27" ht="1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5657</v>
      </c>
    </row>
    <row r="1679" spans="1:27" ht="1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5657</v>
      </c>
    </row>
    <row r="1680" spans="1:27" ht="17">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5657</v>
      </c>
    </row>
    <row r="1681" spans="1:27" ht="17">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5657</v>
      </c>
    </row>
    <row r="1682" spans="1:27" ht="17">
      <c r="A1682" s="2714" t="s">
        <v>691</v>
      </c>
      <c r="B1682" s="371">
        <v>5</v>
      </c>
      <c r="C1682" s="371"/>
      <c r="D1682" s="2716" t="str">
        <f>VLOOKUP($A1682,Sheet_NoteList,2,0)</f>
        <v>开发成本</v>
      </c>
      <c r="E1682" s="2716" t="s">
        <v>6535</v>
      </c>
      <c r="F1682" s="294"/>
      <c r="G1682" s="307" t="str">
        <f>"("&amp;B1682&amp;")"&amp;D1682</f>
        <v>(5)开发成本</v>
      </c>
      <c r="H1682" s="1517" t="str">
        <f>$A1682</f>
        <v>1400d</v>
      </c>
      <c r="I1682" s="343" t="s">
        <v>5967</v>
      </c>
      <c r="J1682" s="301"/>
      <c r="K1682" s="3084"/>
      <c r="L1682" s="315"/>
      <c r="M1682" s="301"/>
      <c r="N1682" s="3084"/>
      <c r="O1682" s="315"/>
      <c r="P1682" s="301"/>
      <c r="Q1682" s="290" t="str">
        <f>IF($I1682="不适用","",IF(ROUND(SUM($H$1685:$M$1690),2)=0,"请输入",""))</f>
        <v>请输入</v>
      </c>
      <c r="S1682" s="364"/>
      <c r="Z1682" s="609" t="s">
        <v>670</v>
      </c>
      <c r="AA1682" s="609" t="s">
        <v>5657</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5657</v>
      </c>
    </row>
    <row r="1684" spans="1:27" ht="17">
      <c r="A1684" s="2714"/>
      <c r="B1684" s="371"/>
      <c r="C1684" s="371"/>
      <c r="D1684" s="371"/>
      <c r="E1684" s="2716" t="s">
        <v>2749</v>
      </c>
      <c r="F1684" s="294"/>
      <c r="G1684" s="481" t="s">
        <v>1476</v>
      </c>
      <c r="H1684" s="488" t="s">
        <v>3244</v>
      </c>
      <c r="I1684" s="488" t="s">
        <v>3245</v>
      </c>
      <c r="J1684" s="488" t="s">
        <v>3246</v>
      </c>
      <c r="K1684" s="2579" t="s">
        <v>6131</v>
      </c>
      <c r="L1684" s="2580" t="s">
        <v>6132</v>
      </c>
      <c r="M1684" s="519" t="s">
        <v>3247</v>
      </c>
      <c r="N1684" s="291"/>
      <c r="O1684" s="291"/>
      <c r="P1684" s="291"/>
      <c r="Q1684" s="291"/>
      <c r="S1684" s="364"/>
      <c r="Z1684" s="609" t="s">
        <v>670</v>
      </c>
      <c r="AA1684" s="609" t="s">
        <v>5657</v>
      </c>
    </row>
    <row r="1685" spans="1:27" ht="17">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5657</v>
      </c>
    </row>
    <row r="1686" spans="1:27" ht="17">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5657</v>
      </c>
    </row>
    <row r="1687" spans="1:27" ht="17">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5657</v>
      </c>
    </row>
    <row r="1688" spans="1:27" ht="17">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5657</v>
      </c>
    </row>
    <row r="1689" spans="1:27" ht="17">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5657</v>
      </c>
    </row>
    <row r="1690" spans="1:27" ht="1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5657</v>
      </c>
    </row>
    <row r="1691" spans="1:27" ht="1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5657</v>
      </c>
    </row>
    <row r="1692" spans="1:27" ht="17.5" thickTop="1">
      <c r="A1692" s="2714"/>
      <c r="B1692" s="371"/>
      <c r="C1692" s="371" t="s">
        <v>2565</v>
      </c>
      <c r="D1692" s="371"/>
      <c r="F1692" s="294"/>
      <c r="G1692" s="1561" t="s">
        <v>5368</v>
      </c>
      <c r="H1692" s="1550" t="str">
        <f>G1617</f>
        <v>(1)存货分类列示</v>
      </c>
      <c r="I1692" s="1551"/>
      <c r="J1692" s="1551"/>
      <c r="K1692" s="1552"/>
      <c r="L1692" s="1552"/>
      <c r="M1692" s="1552"/>
      <c r="N1692" s="1553" t="s">
        <v>5369</v>
      </c>
      <c r="O1692" s="291"/>
      <c r="P1692" s="291"/>
      <c r="Q1692" s="291"/>
      <c r="S1692" s="364"/>
      <c r="Z1692" s="609" t="s">
        <v>670</v>
      </c>
      <c r="AA1692" s="609" t="s">
        <v>5657</v>
      </c>
    </row>
    <row r="1693" spans="1:27" ht="17">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5657</v>
      </c>
    </row>
    <row r="1694" spans="1:27" ht="17">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5657</v>
      </c>
    </row>
    <row r="1695" spans="1:27" ht="1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5657</v>
      </c>
    </row>
    <row r="1696" spans="1:27" ht="1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5657</v>
      </c>
    </row>
    <row r="1697" spans="1:27" ht="17">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5657</v>
      </c>
    </row>
    <row r="1698" spans="1:27" ht="17">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5657</v>
      </c>
    </row>
    <row r="1699" spans="1:27" ht="17">
      <c r="A1699" s="2714" t="s">
        <v>695</v>
      </c>
      <c r="B1699" s="371">
        <v>6</v>
      </c>
      <c r="C1699" s="371"/>
      <c r="D1699" s="2716" t="str">
        <f>VLOOKUP($A1699,Sheet_NoteList,2,0)</f>
        <v>开发产品</v>
      </c>
      <c r="E1699" s="2716" t="s">
        <v>6535</v>
      </c>
      <c r="F1699" s="294"/>
      <c r="G1699" s="307" t="str">
        <f>"("&amp;B1699&amp;")"&amp;D1699</f>
        <v>(6)开发产品</v>
      </c>
      <c r="H1699" s="1517" t="str">
        <f>$A1699</f>
        <v>1400e</v>
      </c>
      <c r="I1699" s="343" t="s">
        <v>5967</v>
      </c>
      <c r="J1699" s="301"/>
      <c r="K1699" s="3084"/>
      <c r="L1699" s="315"/>
      <c r="M1699" s="301"/>
      <c r="N1699" s="3084"/>
      <c r="O1699" s="315"/>
      <c r="P1699" s="301"/>
      <c r="Q1699" s="290" t="str">
        <f>IF($I1699="不适用","",IF(ROUND(SUM($H$1702:$M$1707),2)=0,"请输入",""))</f>
        <v>请输入</v>
      </c>
      <c r="S1699" s="364"/>
      <c r="Z1699" s="609" t="s">
        <v>670</v>
      </c>
      <c r="AA1699" s="609" t="s">
        <v>5657</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5657</v>
      </c>
    </row>
    <row r="1701" spans="1:27" ht="17">
      <c r="A1701" s="2714"/>
      <c r="B1701" s="371"/>
      <c r="C1701" s="371"/>
      <c r="D1701" s="371"/>
      <c r="E1701" s="2716" t="s">
        <v>2749</v>
      </c>
      <c r="F1701" s="294"/>
      <c r="G1701" s="481" t="s">
        <v>1476</v>
      </c>
      <c r="H1701" s="488" t="s">
        <v>3253</v>
      </c>
      <c r="I1701" s="2579" t="s">
        <v>6132</v>
      </c>
      <c r="J1701" s="488" t="s">
        <v>3027</v>
      </c>
      <c r="K1701" s="488" t="s">
        <v>3028</v>
      </c>
      <c r="L1701" s="2579" t="s">
        <v>6131</v>
      </c>
      <c r="M1701" s="519" t="s">
        <v>3247</v>
      </c>
      <c r="N1701" s="291"/>
      <c r="O1701" s="291"/>
      <c r="P1701" s="291"/>
      <c r="S1701" s="364"/>
      <c r="Z1701" s="609" t="s">
        <v>670</v>
      </c>
      <c r="AA1701" s="609" t="s">
        <v>5657</v>
      </c>
    </row>
    <row r="1702" spans="1:27" ht="17">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5657</v>
      </c>
    </row>
    <row r="1703" spans="1:27" ht="17">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5657</v>
      </c>
    </row>
    <row r="1704" spans="1:27" ht="17">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5657</v>
      </c>
    </row>
    <row r="1705" spans="1:27" ht="17">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5657</v>
      </c>
    </row>
    <row r="1706" spans="1:27" ht="17">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5657</v>
      </c>
    </row>
    <row r="1707" spans="1:27" ht="1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5657</v>
      </c>
    </row>
    <row r="1708" spans="1:27" ht="1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5657</v>
      </c>
    </row>
    <row r="1709" spans="1:27" ht="17.5" thickTop="1">
      <c r="A1709" s="2714"/>
      <c r="B1709" s="371"/>
      <c r="C1709" s="371" t="s">
        <v>2565</v>
      </c>
      <c r="D1709" s="371"/>
      <c r="F1709" s="294"/>
      <c r="G1709" s="1561" t="s">
        <v>5368</v>
      </c>
      <c r="H1709" s="1550" t="str">
        <f>G1617</f>
        <v>(1)存货分类列示</v>
      </c>
      <c r="I1709" s="1552"/>
      <c r="J1709" s="1551"/>
      <c r="K1709" s="1551"/>
      <c r="L1709" s="1552"/>
      <c r="M1709" s="1552"/>
      <c r="N1709" s="1553" t="s">
        <v>5369</v>
      </c>
      <c r="O1709" s="291"/>
      <c r="P1709" s="291"/>
      <c r="S1709" s="364"/>
      <c r="Z1709" s="609" t="s">
        <v>670</v>
      </c>
      <c r="AA1709" s="609" t="s">
        <v>5657</v>
      </c>
    </row>
    <row r="1710" spans="1:27" ht="17">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5657</v>
      </c>
    </row>
    <row r="1711" spans="1:27" ht="17">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5657</v>
      </c>
    </row>
    <row r="1712" spans="1:27" ht="1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5657</v>
      </c>
    </row>
    <row r="1713" spans="1:27" ht="1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5657</v>
      </c>
    </row>
    <row r="1714" spans="1:27" ht="17">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5657</v>
      </c>
    </row>
    <row r="1715" spans="1:27" ht="17">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5657</v>
      </c>
    </row>
    <row r="1716" spans="1:27" ht="17">
      <c r="A1716" s="2714" t="s">
        <v>699</v>
      </c>
      <c r="B1716" s="371">
        <v>7</v>
      </c>
      <c r="C1716" s="371"/>
      <c r="D1716" s="2716" t="str">
        <f>VLOOKUP($A1716,Sheet_NoteList,2,0)</f>
        <v>周转房</v>
      </c>
      <c r="E1716" s="2716" t="s">
        <v>6535</v>
      </c>
      <c r="F1716" s="294"/>
      <c r="G1716" s="307" t="str">
        <f>"("&amp;B1716&amp;")"&amp;D1716</f>
        <v>(7)周转房</v>
      </c>
      <c r="H1716" s="1517" t="str">
        <f>$A1716</f>
        <v>1400g</v>
      </c>
      <c r="I1716" s="343" t="s">
        <v>5966</v>
      </c>
      <c r="J1716" s="301"/>
      <c r="K1716" s="3084"/>
      <c r="L1716" s="315"/>
      <c r="M1716" s="301"/>
      <c r="N1716" s="3084"/>
      <c r="O1716" s="315"/>
      <c r="P1716" s="301"/>
      <c r="Q1716" s="290" t="str">
        <f>IF($I1716="不适用","",IF(ROUND(SUM($H$1719:$K$1724),2)=0,"请输入",""))</f>
        <v>请输入</v>
      </c>
      <c r="S1716" s="364"/>
      <c r="Z1716" s="609" t="s">
        <v>670</v>
      </c>
      <c r="AA1716" s="609" t="s">
        <v>5657</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5657</v>
      </c>
    </row>
    <row r="1718" spans="1:27" ht="17">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5657</v>
      </c>
    </row>
    <row r="1719" spans="1:27" ht="17">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5657</v>
      </c>
    </row>
    <row r="1720" spans="1:27" ht="17">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5657</v>
      </c>
    </row>
    <row r="1721" spans="1:27" ht="17">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5657</v>
      </c>
    </row>
    <row r="1722" spans="1:27" ht="17">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5657</v>
      </c>
    </row>
    <row r="1723" spans="1:27" ht="17">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5657</v>
      </c>
    </row>
    <row r="1724" spans="1:27" ht="1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5657</v>
      </c>
    </row>
    <row r="1725" spans="1:27" ht="17">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5657</v>
      </c>
    </row>
    <row r="1726" spans="1:27" ht="17">
      <c r="A1726" s="2714" t="s">
        <v>703</v>
      </c>
      <c r="B1726" s="371">
        <v>8</v>
      </c>
      <c r="C1726" s="371"/>
      <c r="D1726" s="2716" t="str">
        <f>VLOOKUP($A1726,Sheet_NoteList,2,0)</f>
        <v>期末用于债务担保的存货</v>
      </c>
      <c r="E1726" s="2716" t="s">
        <v>6533</v>
      </c>
      <c r="F1726" s="294"/>
      <c r="G1726" s="307" t="str">
        <f>"("&amp;B1726&amp;")"&amp;D1726</f>
        <v>(8)期末用于债务担保的存货</v>
      </c>
      <c r="H1726" s="1517" t="str">
        <f>$A1726</f>
        <v>1400s</v>
      </c>
      <c r="I1726" s="343" t="s">
        <v>5967</v>
      </c>
      <c r="J1726" s="301"/>
      <c r="K1726" s="3084"/>
      <c r="L1726" s="315"/>
      <c r="M1726" s="301"/>
      <c r="N1726" s="3084"/>
      <c r="O1726" s="315"/>
      <c r="P1726" s="301"/>
      <c r="S1726" s="364"/>
      <c r="Z1726" s="609" t="s">
        <v>670</v>
      </c>
      <c r="AA1726" s="609" t="s">
        <v>5657</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5657</v>
      </c>
    </row>
    <row r="1728" spans="1:27" ht="17">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5657</v>
      </c>
    </row>
    <row r="1729" spans="1:27" ht="17">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5657</v>
      </c>
    </row>
    <row r="1730" spans="1:27" ht="17">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5657</v>
      </c>
    </row>
    <row r="1731" spans="1:27" ht="17">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5657</v>
      </c>
    </row>
    <row r="1732" spans="1:27" ht="17">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5657</v>
      </c>
    </row>
    <row r="1733" spans="1:27" ht="17">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5657</v>
      </c>
    </row>
    <row r="1734" spans="1:27" ht="1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5657</v>
      </c>
    </row>
    <row r="1735" spans="1:27" ht="17">
      <c r="A1735" s="2714"/>
      <c r="B1735" s="371"/>
      <c r="C1735" s="371" t="s">
        <v>2755</v>
      </c>
      <c r="D1735" s="371"/>
      <c r="F1735" s="294"/>
      <c r="G1735" s="301"/>
      <c r="H1735" s="315"/>
      <c r="I1735" s="315"/>
      <c r="J1735" s="393"/>
      <c r="K1735" s="291"/>
      <c r="L1735" s="291"/>
      <c r="M1735" s="291"/>
      <c r="N1735" s="291"/>
      <c r="O1735" s="291"/>
      <c r="S1735" s="364"/>
      <c r="Z1735" s="609" t="s">
        <v>670</v>
      </c>
      <c r="AA1735" s="609" t="s">
        <v>5657</v>
      </c>
    </row>
    <row r="1736" spans="1:27" ht="26">
      <c r="A1736" s="2714" t="s">
        <v>687</v>
      </c>
      <c r="B1736" s="371">
        <v>9</v>
      </c>
      <c r="C1736" s="371"/>
      <c r="D1736" s="2716" t="str">
        <f>VLOOKUP($A1736,Sheet_NoteList,2,0)</f>
        <v>存货跌价准备计提依据与转回情况</v>
      </c>
      <c r="E1736" s="2716" t="s">
        <v>6533</v>
      </c>
      <c r="F1736" s="294"/>
      <c r="G1736" s="372" t="str">
        <f>"("&amp;B1736&amp;")"&amp;D1736</f>
        <v>(9)存货跌价准备计提依据与转回情况</v>
      </c>
      <c r="H1736" s="1517" t="str">
        <f>$A1736</f>
        <v>1400c</v>
      </c>
      <c r="I1736" s="343" t="s">
        <v>5966</v>
      </c>
      <c r="J1736" s="301"/>
      <c r="K1736" s="3084"/>
      <c r="L1736" s="315"/>
      <c r="M1736" s="301"/>
      <c r="N1736" s="3084"/>
      <c r="O1736" s="315"/>
      <c r="P1736" s="301"/>
      <c r="Q1736" s="290" t="str">
        <f>IF($I1736="不适用","",IF(ROUND(SUM($H$1739:$I$1751),2)=0,"请输入",""))</f>
        <v>请输入</v>
      </c>
      <c r="S1736" s="364"/>
      <c r="Z1736" s="609" t="s">
        <v>670</v>
      </c>
      <c r="AA1736" s="609" t="s">
        <v>5657</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5657</v>
      </c>
    </row>
    <row r="1738" spans="1:27" ht="39">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5657</v>
      </c>
    </row>
    <row r="1739" spans="1:27" ht="17">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5657</v>
      </c>
    </row>
    <row r="1740" spans="1:27" ht="17">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5657</v>
      </c>
    </row>
    <row r="1741" spans="1:27" ht="17">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5657</v>
      </c>
    </row>
    <row r="1742" spans="1:27" ht="17">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5657</v>
      </c>
    </row>
    <row r="1743" spans="1:27" ht="26">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5657</v>
      </c>
    </row>
    <row r="1744" spans="1:27" ht="17">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5657</v>
      </c>
    </row>
    <row r="1745" spans="1:27" ht="17">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5657</v>
      </c>
    </row>
    <row r="1746" spans="1:27" ht="17">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5657</v>
      </c>
    </row>
    <row r="1747" spans="1:27" ht="17">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5657</v>
      </c>
    </row>
    <row r="1748" spans="1:27" ht="17">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5657</v>
      </c>
    </row>
    <row r="1749" spans="1:27" ht="17">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5657</v>
      </c>
    </row>
    <row r="1750" spans="1:27" ht="17">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5657</v>
      </c>
    </row>
    <row r="1751" spans="1:27" ht="1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5657</v>
      </c>
    </row>
    <row r="1752" spans="1:27" ht="17">
      <c r="A1752" s="2714"/>
      <c r="B1752" s="371"/>
      <c r="C1752" s="371" t="s">
        <v>2755</v>
      </c>
      <c r="D1752" s="371"/>
      <c r="F1752" s="294"/>
      <c r="G1752" s="301"/>
      <c r="H1752" s="393"/>
      <c r="I1752" s="393"/>
      <c r="J1752" s="315"/>
      <c r="K1752" s="315"/>
      <c r="L1752" s="291"/>
      <c r="M1752" s="291"/>
      <c r="N1752" s="291"/>
      <c r="S1752" s="364"/>
      <c r="Z1752" s="609" t="s">
        <v>670</v>
      </c>
      <c r="AA1752" s="609" t="s">
        <v>5657</v>
      </c>
    </row>
    <row r="1753" spans="1:27" ht="17">
      <c r="A1753" s="2714" t="s">
        <v>709</v>
      </c>
      <c r="B1753" s="371">
        <v>10</v>
      </c>
      <c r="C1753" s="371"/>
      <c r="D1753" s="2716" t="str">
        <f>VLOOKUP($A1753,Sheet_NoteList,2,0)</f>
        <v>存货补充资料</v>
      </c>
      <c r="E1753" s="2716" t="s">
        <v>6533</v>
      </c>
      <c r="F1753" s="294"/>
      <c r="G1753" s="372" t="str">
        <f>"("&amp;B1753&amp;")"&amp;D1753</f>
        <v>(10)存货补充资料</v>
      </c>
      <c r="H1753" s="1517" t="str">
        <f>$A1753</f>
        <v>1400x</v>
      </c>
      <c r="I1753" s="343" t="s">
        <v>5967</v>
      </c>
      <c r="J1753" s="301"/>
      <c r="K1753" s="391"/>
      <c r="L1753" s="315"/>
      <c r="M1753" s="301"/>
      <c r="N1753" s="3084"/>
      <c r="O1753" s="315"/>
      <c r="P1753" s="301"/>
      <c r="Q1753" s="290" t="str">
        <f>IF($I1753="不适用","",IF(ROUND(SUM($H$1756:$Q$1761),2)=0,"请输入",""))</f>
        <v>请输入</v>
      </c>
      <c r="S1753" s="364"/>
      <c r="Z1753" s="609" t="s">
        <v>670</v>
      </c>
      <c r="AA1753" s="609" t="s">
        <v>5657</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5657</v>
      </c>
    </row>
    <row r="1755" spans="1:27" ht="17">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5657</v>
      </c>
    </row>
    <row r="1756" spans="1:27" ht="17">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5657</v>
      </c>
    </row>
    <row r="1757" spans="1:27" ht="17">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5657</v>
      </c>
    </row>
    <row r="1758" spans="1:27" ht="17">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5657</v>
      </c>
    </row>
    <row r="1759" spans="1:27" ht="17">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5657</v>
      </c>
    </row>
    <row r="1760" spans="1:27" ht="17">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5657</v>
      </c>
    </row>
    <row r="1761" spans="1:27" ht="1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5657</v>
      </c>
    </row>
    <row r="1762" spans="1:27" ht="17">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5657</v>
      </c>
    </row>
    <row r="1763" spans="1:27" ht="17">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6">
      <c r="A1764" s="2714" t="s">
        <v>730</v>
      </c>
      <c r="B1764" s="371">
        <v>1</v>
      </c>
      <c r="C1764" s="371"/>
      <c r="D1764" s="2716" t="str">
        <f>VLOOKUP($A1764,Sheet_NoteList,2,0)</f>
        <v>期末持有待售的非流动资产或处置组</v>
      </c>
      <c r="E1764" s="2716" t="s">
        <v>6533</v>
      </c>
      <c r="F1764" s="294"/>
      <c r="G1764" s="372" t="str">
        <f>"("&amp;B1764&amp;")"&amp;D1764</f>
        <v>(1)期末持有待售的非流动资产或处置组</v>
      </c>
      <c r="H1764" s="1517" t="str">
        <f>$A1764</f>
        <v>1315b</v>
      </c>
      <c r="I1764" s="343" t="s">
        <v>5967</v>
      </c>
      <c r="J1764" s="301" t="s">
        <v>5972</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6">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5276</v>
      </c>
      <c r="M1766" s="291"/>
      <c r="S1766" s="364"/>
      <c r="Z1766" s="609" t="s">
        <v>716</v>
      </c>
      <c r="AA1766" s="609" t="s">
        <v>3283</v>
      </c>
    </row>
    <row r="1767" spans="1:27" ht="17">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7">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7">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7">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7">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7">
      <c r="A1773" s="2714"/>
      <c r="B1773" s="371"/>
      <c r="C1773" s="371" t="s">
        <v>2755</v>
      </c>
      <c r="D1773" s="371"/>
      <c r="F1773" s="294"/>
      <c r="G1773" s="368"/>
      <c r="H1773" s="349"/>
      <c r="I1773" s="349"/>
      <c r="J1773" s="349"/>
      <c r="K1773" s="350"/>
      <c r="L1773" s="291"/>
      <c r="M1773" s="291"/>
      <c r="S1773" s="364"/>
      <c r="Z1773" s="609" t="s">
        <v>716</v>
      </c>
      <c r="AA1773" s="609" t="s">
        <v>3283</v>
      </c>
    </row>
    <row r="1774" spans="1:27" ht="26">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145" t="s">
        <v>47</v>
      </c>
      <c r="H1777" s="3151" t="str">
        <f>$V$3</f>
        <v>2018年12月31日</v>
      </c>
      <c r="I1777" s="3149" t="s">
        <v>3027</v>
      </c>
      <c r="J1777" s="3149" t="s">
        <v>3028</v>
      </c>
      <c r="K1777" s="3149"/>
      <c r="L1777" s="3262" t="str">
        <f>$V$2</f>
        <v>2019年12月31日</v>
      </c>
      <c r="M1777" s="355" t="s">
        <v>5276</v>
      </c>
      <c r="N1777" s="391"/>
      <c r="O1777" s="349"/>
      <c r="P1777" s="301"/>
      <c r="S1777" s="364"/>
      <c r="Z1777" s="609" t="s">
        <v>716</v>
      </c>
      <c r="AA1777" s="609" t="s">
        <v>3283</v>
      </c>
    </row>
    <row r="1778" spans="1:29" ht="17">
      <c r="A1778" s="2714"/>
      <c r="B1778" s="371"/>
      <c r="C1778" s="371"/>
      <c r="D1778" s="2716"/>
      <c r="E1778" s="586" t="s">
        <v>2749</v>
      </c>
      <c r="F1778" s="586"/>
      <c r="G1778" s="3146"/>
      <c r="H1778" s="3152"/>
      <c r="I1778" s="3150"/>
      <c r="J1778" s="2294" t="s">
        <v>3299</v>
      </c>
      <c r="K1778" s="2239" t="s">
        <v>6133</v>
      </c>
      <c r="L1778" s="3263"/>
      <c r="M1778" s="301"/>
      <c r="N1778" s="391"/>
      <c r="O1778" s="349"/>
      <c r="P1778" s="301"/>
      <c r="S1778" s="364"/>
      <c r="Z1778" s="609" t="s">
        <v>716</v>
      </c>
      <c r="AA1778" s="609" t="s">
        <v>3283</v>
      </c>
    </row>
    <row r="1779" spans="1:29" ht="17">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7">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7">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7">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7">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7">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7">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7">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7">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7">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6">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26.5" thickTop="1">
      <c r="A1792" s="2714"/>
      <c r="B1792" s="371"/>
      <c r="C1792" s="371"/>
      <c r="D1792" s="371"/>
      <c r="E1792" s="586" t="s">
        <v>2749</v>
      </c>
      <c r="F1792" s="363"/>
      <c r="G1792" s="2228" t="s">
        <v>47</v>
      </c>
      <c r="H1792" s="2225" t="str">
        <f>$V$2</f>
        <v>2019年12月31日</v>
      </c>
      <c r="I1792" s="2226" t="str">
        <f>$V$3</f>
        <v>2018年12月31日</v>
      </c>
      <c r="J1792" s="355" t="s">
        <v>5277</v>
      </c>
      <c r="K1792" s="1530" t="str">
        <f>""&amp;"&gt;本期:"&amp;""</f>
        <v>&gt;本期:</v>
      </c>
      <c r="L1792" s="1530" t="str">
        <f>""&amp;"&gt;上期:"&amp;""</f>
        <v>&gt;上期:</v>
      </c>
      <c r="M1792" s="2633" t="str">
        <f>""&amp;"NoteID"&amp;""</f>
        <v>NoteID</v>
      </c>
      <c r="S1792" s="364"/>
      <c r="Z1792" s="609" t="s">
        <v>749</v>
      </c>
      <c r="AA1792" s="609" t="s">
        <v>3305</v>
      </c>
    </row>
    <row r="1793" spans="1:27" ht="17">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7">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7">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7">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7">
      <c r="A1798" s="2714"/>
      <c r="B1798" s="371"/>
      <c r="C1798" s="371" t="s">
        <v>2755</v>
      </c>
      <c r="D1798" s="2716"/>
      <c r="E1798" s="2721"/>
      <c r="F1798" s="294"/>
      <c r="G1798" s="301"/>
      <c r="H1798" s="315"/>
      <c r="I1798" s="315"/>
      <c r="J1798" s="291"/>
      <c r="K1798" s="1539" t="s">
        <v>5506</v>
      </c>
      <c r="L1798" s="354"/>
      <c r="M1798" s="354"/>
      <c r="S1798" s="364"/>
      <c r="Z1798" s="609" t="s">
        <v>749</v>
      </c>
      <c r="AA1798" s="609" t="s">
        <v>3305</v>
      </c>
    </row>
    <row r="1799" spans="1:27" ht="26">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172" t="s">
        <v>5487</v>
      </c>
      <c r="H1802" s="3153" t="str">
        <f>$V$2</f>
        <v>2019年12月31日</v>
      </c>
      <c r="I1802" s="3154"/>
      <c r="J1802" s="3154"/>
      <c r="K1802" s="3264"/>
      <c r="L1802" s="3265" t="str">
        <f>$V$3</f>
        <v>2018年12月31日</v>
      </c>
      <c r="M1802" s="3266"/>
      <c r="N1802" s="3266"/>
      <c r="O1802" s="3266"/>
      <c r="P1802" s="355" t="s">
        <v>5277</v>
      </c>
      <c r="Q1802" s="442"/>
      <c r="R1802" s="443"/>
      <c r="S1802" s="364"/>
      <c r="Z1802" s="609" t="s">
        <v>749</v>
      </c>
      <c r="AA1802" s="609" t="s">
        <v>3305</v>
      </c>
    </row>
    <row r="1803" spans="1:27" ht="17">
      <c r="A1803" s="2714"/>
      <c r="B1803" s="371"/>
      <c r="C1803" s="371"/>
      <c r="D1803" s="2716"/>
      <c r="E1803" s="2716" t="s">
        <v>2749</v>
      </c>
      <c r="F1803" s="293"/>
      <c r="G1803" s="3173"/>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7">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7">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7">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7">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7">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7.5" thickBot="1">
      <c r="A1809" s="2714"/>
      <c r="B1809" s="371"/>
      <c r="C1809" s="371"/>
      <c r="D1809" s="2716">
        <f t="shared" si="166"/>
        <v>1</v>
      </c>
      <c r="E1809" s="2721" t="s">
        <v>2751</v>
      </c>
      <c r="F1809" s="293"/>
      <c r="G1809" s="2234" t="s">
        <v>5485</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7">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7">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480</v>
      </c>
      <c r="L1811" s="342"/>
      <c r="M1811" s="306" t="s">
        <v>2741</v>
      </c>
      <c r="N1811" s="341">
        <f>VLOOKUP($A1811,Sheet_Trialbal,10,0)</f>
        <v>480</v>
      </c>
      <c r="O1811" s="306"/>
      <c r="P1811" s="301"/>
      <c r="S1811" s="364"/>
      <c r="Z1811" s="609" t="s">
        <v>758</v>
      </c>
      <c r="AA1811" s="609" t="s">
        <v>5659</v>
      </c>
    </row>
    <row r="1812" spans="1:27" ht="17">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480</v>
      </c>
      <c r="L1812" s="345" t="str">
        <f>IF($I1812="适用",IF(ROUND(K1811-K1812,2)=0,"F/S",ROUND(K1811-K1812,2)),"#N/A")</f>
        <v>F/S</v>
      </c>
      <c r="M1812" s="301" t="s">
        <v>2745</v>
      </c>
      <c r="N1812" s="2210">
        <f>I1820</f>
        <v>480</v>
      </c>
      <c r="O1812" s="345" t="str">
        <f>IF($I1812="适用",IF(ROUND(N1811-N1812,2)=0,"F/S",ROUND(N1811-N1812,2)),"#N/A")</f>
        <v>F/S</v>
      </c>
      <c r="P1812" s="301"/>
      <c r="Q1812" s="290" t="str">
        <f>IF($I1812="不适用","",IF(ROUND(SUM($H$1815:$I$1820),2)=0,"请输入",""))</f>
        <v/>
      </c>
      <c r="S1812" s="364"/>
      <c r="Z1812" s="609" t="s">
        <v>758</v>
      </c>
      <c r="AA1812" s="609" t="s">
        <v>5659</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5659</v>
      </c>
    </row>
    <row r="1814" spans="1:27" ht="26">
      <c r="A1814" s="2714"/>
      <c r="B1814" s="371"/>
      <c r="C1814" s="371"/>
      <c r="D1814" s="371"/>
      <c r="E1814" s="2716" t="s">
        <v>2749</v>
      </c>
      <c r="F1814" s="294"/>
      <c r="G1814" s="410" t="s">
        <v>47</v>
      </c>
      <c r="H1814" s="1454" t="str">
        <f>$V$2</f>
        <v>2019年12月31日</v>
      </c>
      <c r="I1814" s="1455" t="str">
        <f>$V$3</f>
        <v>2018年12月31日</v>
      </c>
      <c r="J1814" s="355" t="s">
        <v>5278</v>
      </c>
      <c r="K1814" s="291"/>
      <c r="L1814" s="291"/>
      <c r="M1814" s="291"/>
      <c r="S1814" s="364"/>
      <c r="Z1814" s="609" t="s">
        <v>758</v>
      </c>
      <c r="AA1814" s="609" t="s">
        <v>5659</v>
      </c>
    </row>
    <row r="1815" spans="1:27" ht="17">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5659</v>
      </c>
    </row>
    <row r="1816" spans="1:27" ht="17">
      <c r="A1816" s="2714"/>
      <c r="B1816" s="371">
        <v>102</v>
      </c>
      <c r="C1816" s="371"/>
      <c r="D1816" s="2716">
        <f t="shared" si="167"/>
        <v>1</v>
      </c>
      <c r="E1816" s="2721">
        <v>1</v>
      </c>
      <c r="F1816" s="294"/>
      <c r="G1816" s="308" t="s">
        <v>3325</v>
      </c>
      <c r="H1816" s="309">
        <v>480</v>
      </c>
      <c r="I1816" s="346">
        <v>480</v>
      </c>
      <c r="J1816" s="291"/>
      <c r="K1816" s="291"/>
      <c r="L1816" s="291"/>
      <c r="M1816" s="291"/>
      <c r="S1816" s="364"/>
      <c r="Z1816" s="609" t="s">
        <v>758</v>
      </c>
      <c r="AA1816" s="609" t="s">
        <v>5659</v>
      </c>
    </row>
    <row r="1817" spans="1:27" ht="17">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5659</v>
      </c>
    </row>
    <row r="1818" spans="1:27" ht="17">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5659</v>
      </c>
    </row>
    <row r="1819" spans="1:27" ht="17">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5659</v>
      </c>
    </row>
    <row r="1820" spans="1:27" ht="17.5" thickBot="1">
      <c r="A1820" s="2714"/>
      <c r="B1820" s="371"/>
      <c r="C1820" s="371"/>
      <c r="D1820" s="2716">
        <f t="shared" si="167"/>
        <v>1</v>
      </c>
      <c r="E1820" s="2721" t="s">
        <v>2751</v>
      </c>
      <c r="F1820" s="294"/>
      <c r="G1820" s="374" t="s">
        <v>2752</v>
      </c>
      <c r="H1820" s="375">
        <f>SUMPRODUCT($E1814:$E1819,H1814:H1819)</f>
        <v>480</v>
      </c>
      <c r="I1820" s="395">
        <f>SUMPRODUCT($E1814:$E1819,I1814:I1819)</f>
        <v>480</v>
      </c>
      <c r="J1820" s="291"/>
      <c r="K1820" s="291"/>
      <c r="L1820" s="291"/>
      <c r="M1820" s="291"/>
      <c r="S1820" s="364"/>
      <c r="Z1820" s="609" t="s">
        <v>758</v>
      </c>
      <c r="AA1820" s="609" t="s">
        <v>5659</v>
      </c>
    </row>
    <row r="1821" spans="1:27" ht="17">
      <c r="A1821" s="2714"/>
      <c r="B1821" s="371"/>
      <c r="C1821" s="371" t="s">
        <v>2755</v>
      </c>
      <c r="D1821" s="2716"/>
      <c r="E1821" s="2721"/>
      <c r="F1821" s="294"/>
      <c r="G1821" s="301"/>
      <c r="H1821" s="315"/>
      <c r="I1821" s="315"/>
      <c r="J1821" s="291"/>
      <c r="K1821" s="291"/>
      <c r="L1821" s="291"/>
      <c r="M1821" s="291"/>
      <c r="S1821" s="364"/>
      <c r="Z1821" s="609" t="s">
        <v>758</v>
      </c>
      <c r="AA1821" s="609" t="s">
        <v>5659</v>
      </c>
    </row>
    <row r="1822" spans="1:27" ht="17">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7">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61" t="s">
        <v>47</v>
      </c>
      <c r="H1826" s="3153" t="str">
        <f>$V$2</f>
        <v>2019年12月31日</v>
      </c>
      <c r="I1826" s="3154"/>
      <c r="J1826" s="3264"/>
      <c r="K1826" s="3265" t="str">
        <f>$V$3</f>
        <v>2018年12月31日</v>
      </c>
      <c r="L1826" s="3266"/>
      <c r="M1826" s="3266"/>
      <c r="N1826" s="355" t="s">
        <v>5279</v>
      </c>
      <c r="O1826" s="428"/>
      <c r="P1826" s="433"/>
      <c r="Q1826" s="442"/>
      <c r="R1826" s="443"/>
      <c r="S1826" s="364"/>
      <c r="Z1826" s="609" t="s">
        <v>764</v>
      </c>
      <c r="AA1826" s="609" t="s">
        <v>3326</v>
      </c>
    </row>
    <row r="1827" spans="1:29" ht="17">
      <c r="A1827" s="2714"/>
      <c r="B1827" s="371"/>
      <c r="C1827" s="371"/>
      <c r="D1827" s="2716"/>
      <c r="E1827" s="2716" t="s">
        <v>2749</v>
      </c>
      <c r="F1827" s="293"/>
      <c r="G1827" s="3162"/>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7">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7">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7">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7">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7">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7">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7">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7">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6575</v>
      </c>
    </row>
    <row r="1836" spans="1:29" ht="1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6575</v>
      </c>
    </row>
    <row r="1837" spans="1:29" ht="17">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7">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61" t="s">
        <v>5134</v>
      </c>
      <c r="H1841" s="3153" t="str">
        <f>$V$2</f>
        <v>2019年12月31日</v>
      </c>
      <c r="I1841" s="3154"/>
      <c r="J1841" s="3154"/>
      <c r="K1841" s="3264"/>
      <c r="L1841" s="3265" t="str">
        <f>$V$3</f>
        <v>2018年12月31日</v>
      </c>
      <c r="M1841" s="3266"/>
      <c r="N1841" s="3266"/>
      <c r="O1841" s="3266"/>
      <c r="P1841" s="355" t="s">
        <v>5279</v>
      </c>
      <c r="Q1841" s="442"/>
      <c r="R1841" s="443"/>
      <c r="S1841" s="364"/>
      <c r="Z1841" s="609" t="s">
        <v>764</v>
      </c>
      <c r="AA1841" s="609" t="s">
        <v>3326</v>
      </c>
    </row>
    <row r="1842" spans="1:27" ht="17">
      <c r="A1842" s="2714"/>
      <c r="B1842" s="371"/>
      <c r="C1842" s="371"/>
      <c r="D1842" s="2716"/>
      <c r="E1842" s="2716" t="s">
        <v>2749</v>
      </c>
      <c r="F1842" s="293"/>
      <c r="G1842" s="3162"/>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7">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7">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7">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7">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7">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7">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7">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7">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7">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6">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6208</v>
      </c>
      <c r="I1854" s="371" t="s">
        <v>6215</v>
      </c>
      <c r="J1854" s="371" t="s">
        <v>6216</v>
      </c>
      <c r="K1854" s="1604"/>
      <c r="L1854" s="1604"/>
      <c r="M1854" s="1604"/>
      <c r="N1854" s="1604"/>
      <c r="O1854" s="1604"/>
      <c r="P1854" s="1604"/>
      <c r="Q1854" s="1604"/>
      <c r="R1854" s="1604"/>
      <c r="S1854" s="364"/>
      <c r="Z1854" s="609" t="s">
        <v>764</v>
      </c>
      <c r="AA1854" s="609" t="s">
        <v>3326</v>
      </c>
    </row>
    <row r="1855" spans="1:27" ht="17.5" thickTop="1">
      <c r="A1855" s="2714"/>
      <c r="B1855" s="371"/>
      <c r="C1855" s="371"/>
      <c r="D1855" s="2716"/>
      <c r="E1855" s="586" t="s">
        <v>2749</v>
      </c>
      <c r="F1855" s="414"/>
      <c r="G1855" s="2289" t="s">
        <v>5931</v>
      </c>
      <c r="H1855" s="2310" t="s">
        <v>5130</v>
      </c>
      <c r="I1855" s="2310" t="s">
        <v>5145</v>
      </c>
      <c r="J1855" s="2293" t="s">
        <v>2863</v>
      </c>
      <c r="K1855" s="355" t="s">
        <v>5279</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7">
      <c r="A1856" s="2714"/>
      <c r="B1856" s="371">
        <v>101</v>
      </c>
      <c r="C1856" s="371"/>
      <c r="D1856" s="2716">
        <f t="shared" ref="D1856:D1860" si="173">IF(OR(G1856="*",G1856="",G1856=0),0,COUNTIF($G$1856:$G$1860,G1856))</f>
        <v>1</v>
      </c>
      <c r="E1856" s="2721">
        <v>1</v>
      </c>
      <c r="F1856" s="293"/>
      <c r="G1856" s="1474" t="s">
        <v>5928</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7">
      <c r="A1857" s="2714"/>
      <c r="B1857" s="371">
        <v>102</v>
      </c>
      <c r="C1857" s="371"/>
      <c r="D1857" s="2716">
        <f t="shared" si="173"/>
        <v>1</v>
      </c>
      <c r="E1857" s="2721">
        <v>1</v>
      </c>
      <c r="F1857" s="293"/>
      <c r="G1857" s="1474" t="s">
        <v>5929</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7">
      <c r="A1858" s="2714"/>
      <c r="B1858" s="371">
        <v>103</v>
      </c>
      <c r="C1858" s="371"/>
      <c r="D1858" s="2716">
        <f t="shared" si="173"/>
        <v>1</v>
      </c>
      <c r="E1858" s="2721">
        <v>1</v>
      </c>
      <c r="F1858" s="293"/>
      <c r="G1858" s="1474" t="s">
        <v>5930</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7">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7.5" thickBot="1">
      <c r="A1861" s="2714"/>
      <c r="B1861" s="371"/>
      <c r="C1861" s="371" t="s">
        <v>2755</v>
      </c>
      <c r="D1861" s="2716"/>
      <c r="F1861" s="293"/>
      <c r="G1861" s="376"/>
      <c r="H1861" s="527" t="s">
        <v>3002</v>
      </c>
      <c r="I1861" s="2253" t="s">
        <v>3002</v>
      </c>
      <c r="J1861" s="527" t="s">
        <v>3002</v>
      </c>
      <c r="K1861" s="1604"/>
      <c r="L1861" s="2656" t="s">
        <v>5506</v>
      </c>
      <c r="M1861" s="2647"/>
      <c r="N1861" s="2647"/>
      <c r="O1861" s="2647"/>
      <c r="P1861" s="1604"/>
      <c r="Q1861" s="1604"/>
      <c r="R1861" s="1604"/>
      <c r="S1861" s="364"/>
      <c r="Z1861" s="609" t="s">
        <v>764</v>
      </c>
      <c r="AA1861" s="609" t="s">
        <v>3326</v>
      </c>
    </row>
    <row r="1862" spans="1:27" ht="17.5" thickTop="1">
      <c r="A1862" s="2714"/>
      <c r="B1862" s="371"/>
      <c r="C1862" s="371" t="s">
        <v>2565</v>
      </c>
      <c r="D1862" s="2716"/>
      <c r="F1862" s="293"/>
      <c r="G1862" s="1549" t="s">
        <v>5368</v>
      </c>
      <c r="H1862" s="1550" t="str">
        <f>G1823</f>
        <v>(1)债权投资情况</v>
      </c>
      <c r="I1862" s="1552"/>
      <c r="J1862" s="1552"/>
      <c r="K1862" s="1553" t="s">
        <v>5369</v>
      </c>
      <c r="L1862" s="1604"/>
      <c r="M1862" s="1604"/>
      <c r="N1862" s="1604"/>
      <c r="O1862" s="1604"/>
      <c r="P1862" s="1604"/>
      <c r="Q1862" s="1604"/>
      <c r="R1862" s="1604"/>
      <c r="S1862" s="364"/>
      <c r="Z1862" s="609" t="s">
        <v>764</v>
      </c>
      <c r="AA1862" s="609" t="s">
        <v>3326</v>
      </c>
    </row>
    <row r="1863" spans="1:27" ht="17">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7">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7">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7">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6">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9">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5279</v>
      </c>
      <c r="N1871" s="434"/>
      <c r="O1871" s="434"/>
      <c r="P1871" s="435"/>
      <c r="Q1871" s="442"/>
      <c r="R1871" s="443"/>
      <c r="S1871" s="364"/>
      <c r="Z1871" s="609" t="s">
        <v>764</v>
      </c>
      <c r="AA1871" s="609" t="s">
        <v>3326</v>
      </c>
    </row>
    <row r="1872" spans="1:27" ht="17">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7">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6137</v>
      </c>
      <c r="N1873" s="439"/>
      <c r="O1873" s="437"/>
      <c r="P1873" s="438"/>
      <c r="Q1873" s="442"/>
      <c r="R1873" s="443"/>
      <c r="S1873" s="364"/>
      <c r="Z1873" s="609" t="s">
        <v>764</v>
      </c>
      <c r="AA1873" s="609" t="s">
        <v>3326</v>
      </c>
    </row>
    <row r="1874" spans="1:29" ht="17">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7">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7">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7">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7">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7">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6575</v>
      </c>
    </row>
    <row r="1881" spans="1:29" ht="17">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6">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9">
      <c r="A1884" s="2714"/>
      <c r="B1884" s="371"/>
      <c r="C1884" s="371"/>
      <c r="D1884" s="2716"/>
      <c r="E1884" s="586" t="s">
        <v>2749</v>
      </c>
      <c r="F1884" s="414"/>
      <c r="G1884" s="2289" t="s">
        <v>6015</v>
      </c>
      <c r="H1884" s="2291" t="s">
        <v>2861</v>
      </c>
      <c r="I1884" s="2291" t="s">
        <v>3148</v>
      </c>
      <c r="J1884" s="2291" t="s">
        <v>3097</v>
      </c>
      <c r="K1884" s="2311" t="s">
        <v>2863</v>
      </c>
      <c r="L1884" s="2312" t="s">
        <v>3147</v>
      </c>
      <c r="M1884" s="355" t="s">
        <v>5279</v>
      </c>
      <c r="N1884" s="434"/>
      <c r="O1884" s="434"/>
      <c r="P1884" s="435"/>
      <c r="Q1884" s="442"/>
      <c r="R1884" s="443"/>
      <c r="S1884" s="364"/>
      <c r="Z1884" s="609" t="s">
        <v>764</v>
      </c>
      <c r="AA1884" s="609" t="s">
        <v>3326</v>
      </c>
    </row>
    <row r="1885" spans="1:29" ht="17">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7">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6137</v>
      </c>
      <c r="N1886" s="439"/>
      <c r="O1886" s="437"/>
      <c r="P1886" s="438"/>
      <c r="Q1886" s="442"/>
      <c r="R1886" s="443"/>
      <c r="S1886" s="364"/>
      <c r="Z1886" s="609" t="s">
        <v>764</v>
      </c>
      <c r="AA1886" s="609" t="s">
        <v>3326</v>
      </c>
    </row>
    <row r="1887" spans="1:29" ht="17">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7">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7">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7">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7">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7">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6575</v>
      </c>
    </row>
    <row r="1894" spans="1:29" ht="17">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6">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9">
      <c r="A1897" s="2714"/>
      <c r="B1897" s="371"/>
      <c r="C1897" s="371"/>
      <c r="D1897" s="2716"/>
      <c r="E1897" s="586" t="s">
        <v>2749</v>
      </c>
      <c r="F1897" s="414"/>
      <c r="G1897" s="2289" t="s">
        <v>6015</v>
      </c>
      <c r="H1897" s="2291" t="s">
        <v>2861</v>
      </c>
      <c r="I1897" s="2291" t="s">
        <v>3148</v>
      </c>
      <c r="J1897" s="2291" t="s">
        <v>3097</v>
      </c>
      <c r="K1897" s="2311" t="s">
        <v>2863</v>
      </c>
      <c r="L1897" s="2312" t="s">
        <v>3147</v>
      </c>
      <c r="M1897" s="355" t="s">
        <v>5279</v>
      </c>
      <c r="N1897" s="434"/>
      <c r="O1897" s="434"/>
      <c r="P1897" s="435"/>
      <c r="Q1897" s="442"/>
      <c r="R1897" s="443"/>
      <c r="S1897" s="364"/>
      <c r="Z1897" s="609" t="s">
        <v>764</v>
      </c>
      <c r="AA1897" s="609" t="s">
        <v>3326</v>
      </c>
    </row>
    <row r="1898" spans="1:29" ht="17">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7">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6137</v>
      </c>
      <c r="N1899" s="439"/>
      <c r="O1899" s="437"/>
      <c r="P1899" s="438"/>
      <c r="Q1899" s="442"/>
      <c r="R1899" s="443"/>
      <c r="S1899" s="364"/>
      <c r="Z1899" s="609" t="s">
        <v>764</v>
      </c>
      <c r="AA1899" s="609" t="s">
        <v>3326</v>
      </c>
    </row>
    <row r="1900" spans="1:29" ht="17">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7">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7">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7">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7">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7">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6575</v>
      </c>
    </row>
    <row r="1907" spans="1:29" ht="17">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6">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145" t="s">
        <v>6016</v>
      </c>
      <c r="H1911" s="3151" t="str">
        <f>$V$3</f>
        <v>2018年12月31日</v>
      </c>
      <c r="I1911" s="3149" t="s">
        <v>6017</v>
      </c>
      <c r="J1911" s="3151" t="str">
        <f>$X$3</f>
        <v>2019年1月1日</v>
      </c>
      <c r="K1911" s="3179" t="s">
        <v>2919</v>
      </c>
      <c r="L1911" s="3179"/>
      <c r="M1911" s="3179"/>
      <c r="N1911" s="3262" t="str">
        <f>$V$2</f>
        <v>2019年12月31日</v>
      </c>
      <c r="O1911" s="355" t="s">
        <v>5279</v>
      </c>
      <c r="P1911" s="433"/>
      <c r="Q1911" s="442"/>
      <c r="R1911" s="443"/>
      <c r="S1911" s="364"/>
      <c r="Z1911" s="609" t="s">
        <v>764</v>
      </c>
      <c r="AA1911" s="609" t="s">
        <v>3326</v>
      </c>
    </row>
    <row r="1912" spans="1:29" ht="26">
      <c r="A1912" s="2714"/>
      <c r="B1912" s="371"/>
      <c r="C1912" s="371"/>
      <c r="D1912" s="2716"/>
      <c r="E1912" s="586" t="s">
        <v>2749</v>
      </c>
      <c r="F1912" s="414"/>
      <c r="G1912" s="3146"/>
      <c r="H1912" s="3152"/>
      <c r="I1912" s="3150"/>
      <c r="J1912" s="3152"/>
      <c r="K1912" s="2239" t="s">
        <v>6018</v>
      </c>
      <c r="L1912" s="2239" t="s">
        <v>6019</v>
      </c>
      <c r="M1912" s="2294" t="s">
        <v>6020</v>
      </c>
      <c r="N1912" s="3263"/>
      <c r="O1912" s="434"/>
      <c r="P1912" s="435"/>
      <c r="Q1912" s="442"/>
      <c r="R1912" s="443"/>
      <c r="S1912" s="364"/>
      <c r="Z1912" s="609" t="s">
        <v>764</v>
      </c>
      <c r="AA1912" s="609" t="s">
        <v>3326</v>
      </c>
    </row>
    <row r="1913" spans="1:29" ht="17">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7">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7">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7">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7">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7.5" thickTop="1">
      <c r="A1920" s="2714"/>
      <c r="B1920" s="371"/>
      <c r="C1920" s="371" t="s">
        <v>2565</v>
      </c>
      <c r="D1920" s="2716"/>
      <c r="F1920" s="293"/>
      <c r="G1920" s="1549" t="s">
        <v>5368</v>
      </c>
      <c r="H1920" s="1550" t="str">
        <f>G1823</f>
        <v>(1)债权投资情况</v>
      </c>
      <c r="I1920" s="1551"/>
      <c r="J1920" s="1551"/>
      <c r="K1920" s="1551"/>
      <c r="L1920" s="1551"/>
      <c r="M1920" s="1551"/>
      <c r="N1920" s="1552"/>
      <c r="O1920" s="1553" t="s">
        <v>5369</v>
      </c>
      <c r="P1920" s="425"/>
      <c r="Q1920" s="442"/>
      <c r="R1920" s="442"/>
      <c r="S1920" s="364"/>
      <c r="Z1920" s="609" t="s">
        <v>764</v>
      </c>
      <c r="AA1920" s="609" t="s">
        <v>3326</v>
      </c>
    </row>
    <row r="1921" spans="1:27" ht="17">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7">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7">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7">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6">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145" t="s">
        <v>3097</v>
      </c>
      <c r="H1930" s="2291" t="s">
        <v>3348</v>
      </c>
      <c r="I1930" s="2291" t="s">
        <v>3349</v>
      </c>
      <c r="J1930" s="2291" t="s">
        <v>3350</v>
      </c>
      <c r="K1930" s="3157" t="s">
        <v>3351</v>
      </c>
      <c r="L1930" s="355" t="s">
        <v>5279</v>
      </c>
      <c r="M1930" s="433"/>
      <c r="N1930" s="428"/>
      <c r="O1930" s="428"/>
      <c r="P1930" s="433"/>
      <c r="Q1930" s="442"/>
      <c r="R1930" s="443"/>
      <c r="S1930" s="364"/>
      <c r="Z1930" s="609" t="s">
        <v>764</v>
      </c>
      <c r="AA1930" s="609" t="s">
        <v>3326</v>
      </c>
    </row>
    <row r="1931" spans="1:27" ht="39">
      <c r="A1931" s="2714"/>
      <c r="B1931" s="371"/>
      <c r="C1931" s="371"/>
      <c r="D1931" s="2716"/>
      <c r="E1931" s="586" t="s">
        <v>2749</v>
      </c>
      <c r="F1931" s="414"/>
      <c r="G1931" s="3146"/>
      <c r="H1931" s="2294" t="s">
        <v>3352</v>
      </c>
      <c r="I1931" s="2294" t="s">
        <v>3353</v>
      </c>
      <c r="J1931" s="2294" t="s">
        <v>3354</v>
      </c>
      <c r="K1931" s="3158"/>
      <c r="L1931" s="1532" t="s">
        <v>6355</v>
      </c>
      <c r="M1931" s="435"/>
      <c r="N1931" s="434"/>
      <c r="O1931" s="434"/>
      <c r="P1931" s="435"/>
      <c r="Q1931" s="442"/>
      <c r="R1931" s="443"/>
      <c r="S1931" s="364"/>
      <c r="Z1931" s="609" t="s">
        <v>764</v>
      </c>
      <c r="AA1931" s="609" t="s">
        <v>3326</v>
      </c>
    </row>
    <row r="1932" spans="1:27" ht="17">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7">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6">
      <c r="A1934" s="2714"/>
      <c r="B1934" s="371">
        <v>103</v>
      </c>
      <c r="C1934" s="371"/>
      <c r="D1934" s="2716">
        <f t="shared" si="186"/>
        <v>1</v>
      </c>
      <c r="E1934" s="2721">
        <v>1</v>
      </c>
      <c r="F1934" s="293"/>
      <c r="G1934" s="1474" t="s">
        <v>6023</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6">
      <c r="A1935" s="2714"/>
      <c r="B1935" s="371">
        <v>104</v>
      </c>
      <c r="C1935" s="371"/>
      <c r="D1935" s="2716">
        <f t="shared" si="186"/>
        <v>1</v>
      </c>
      <c r="E1935" s="2721">
        <v>1</v>
      </c>
      <c r="F1935" s="293"/>
      <c r="G1935" s="1474" t="s">
        <v>6021</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6">
      <c r="A1936" s="2714"/>
      <c r="B1936" s="371">
        <v>105</v>
      </c>
      <c r="C1936" s="371"/>
      <c r="D1936" s="2716">
        <f t="shared" si="186"/>
        <v>1</v>
      </c>
      <c r="E1936" s="2721">
        <v>1</v>
      </c>
      <c r="F1936" s="293"/>
      <c r="G1936" s="1474" t="s">
        <v>6022</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6">
      <c r="A1937" s="2714"/>
      <c r="B1937" s="371">
        <v>106</v>
      </c>
      <c r="C1937" s="371"/>
      <c r="D1937" s="2716">
        <f t="shared" si="186"/>
        <v>1</v>
      </c>
      <c r="E1937" s="2721">
        <v>1</v>
      </c>
      <c r="F1937" s="293"/>
      <c r="G1937" s="1474" t="s">
        <v>6024</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7">
      <c r="A1938" s="2714"/>
      <c r="B1938" s="371">
        <v>107</v>
      </c>
      <c r="C1938" s="371"/>
      <c r="D1938" s="2716">
        <f t="shared" si="186"/>
        <v>1</v>
      </c>
      <c r="E1938" s="2721">
        <v>1</v>
      </c>
      <c r="F1938" s="293"/>
      <c r="G1938" s="1474" t="s">
        <v>6025</v>
      </c>
      <c r="H1938" s="2275"/>
      <c r="I1938" s="2275"/>
      <c r="J1938" s="2275"/>
      <c r="K1938" s="1477">
        <f t="shared" si="187"/>
        <v>0</v>
      </c>
      <c r="L1938" s="437"/>
      <c r="M1938" s="438"/>
      <c r="N1938" s="439"/>
      <c r="O1938" s="437"/>
      <c r="P1938" s="438"/>
      <c r="Q1938" s="442"/>
      <c r="R1938" s="443"/>
      <c r="S1938" s="364"/>
      <c r="Z1938" s="609" t="s">
        <v>764</v>
      </c>
      <c r="AA1938" s="609" t="s">
        <v>3326</v>
      </c>
    </row>
    <row r="1939" spans="1:27" ht="17">
      <c r="A1939" s="2714"/>
      <c r="B1939" s="371">
        <v>108</v>
      </c>
      <c r="C1939" s="371"/>
      <c r="D1939" s="2716">
        <f t="shared" si="186"/>
        <v>1</v>
      </c>
      <c r="E1939" s="2721">
        <v>-1</v>
      </c>
      <c r="F1939" s="293"/>
      <c r="G1939" s="1474" t="s">
        <v>6026</v>
      </c>
      <c r="H1939" s="2275"/>
      <c r="I1939" s="2275"/>
      <c r="J1939" s="2275"/>
      <c r="K1939" s="1477">
        <f t="shared" si="187"/>
        <v>0</v>
      </c>
      <c r="L1939" s="355" t="s">
        <v>6138</v>
      </c>
      <c r="M1939" s="438"/>
      <c r="N1939" s="439"/>
      <c r="O1939" s="437"/>
      <c r="P1939" s="438"/>
      <c r="Q1939" s="442"/>
      <c r="R1939" s="443"/>
      <c r="S1939" s="364"/>
      <c r="Z1939" s="609" t="s">
        <v>764</v>
      </c>
      <c r="AA1939" s="609" t="s">
        <v>3326</v>
      </c>
    </row>
    <row r="1940" spans="1:27" ht="17">
      <c r="A1940" s="2714"/>
      <c r="B1940" s="371">
        <v>109</v>
      </c>
      <c r="C1940" s="371"/>
      <c r="D1940" s="2716">
        <f t="shared" si="186"/>
        <v>1</v>
      </c>
      <c r="E1940" s="2721">
        <v>-1</v>
      </c>
      <c r="F1940" s="293"/>
      <c r="G1940" s="603" t="s">
        <v>3356</v>
      </c>
      <c r="H1940" s="2275"/>
      <c r="I1940" s="2275"/>
      <c r="J1940" s="2275"/>
      <c r="K1940" s="1477">
        <f t="shared" si="187"/>
        <v>0</v>
      </c>
      <c r="L1940" s="355" t="s">
        <v>6138</v>
      </c>
      <c r="M1940" s="438"/>
      <c r="N1940" s="439"/>
      <c r="O1940" s="437"/>
      <c r="P1940" s="438"/>
      <c r="Q1940" s="442"/>
      <c r="R1940" s="443"/>
      <c r="S1940" s="364"/>
      <c r="Z1940" s="609" t="s">
        <v>764</v>
      </c>
      <c r="AA1940" s="609" t="s">
        <v>3326</v>
      </c>
    </row>
    <row r="1941" spans="1:27" ht="17">
      <c r="A1941" s="2714"/>
      <c r="B1941" s="371">
        <v>110</v>
      </c>
      <c r="C1941" s="371"/>
      <c r="D1941" s="2716">
        <f t="shared" si="186"/>
        <v>1</v>
      </c>
      <c r="E1941" s="2721">
        <v>-1</v>
      </c>
      <c r="F1941" s="293"/>
      <c r="G1941" s="603" t="s">
        <v>3357</v>
      </c>
      <c r="H1941" s="2275"/>
      <c r="I1941" s="2275"/>
      <c r="J1941" s="2275"/>
      <c r="K1941" s="1477">
        <f t="shared" si="187"/>
        <v>0</v>
      </c>
      <c r="L1941" s="355" t="s">
        <v>6138</v>
      </c>
      <c r="M1941" s="438"/>
      <c r="N1941" s="439"/>
      <c r="O1941" s="437"/>
      <c r="P1941" s="438"/>
      <c r="Q1941" s="442"/>
      <c r="R1941" s="443"/>
      <c r="S1941" s="364"/>
      <c r="Z1941" s="609" t="s">
        <v>764</v>
      </c>
      <c r="AA1941" s="609" t="s">
        <v>3326</v>
      </c>
    </row>
    <row r="1942" spans="1:27" ht="26">
      <c r="A1942" s="2714"/>
      <c r="B1942" s="371">
        <v>111</v>
      </c>
      <c r="C1942" s="371"/>
      <c r="D1942" s="2716">
        <f t="shared" si="186"/>
        <v>1</v>
      </c>
      <c r="E1942" s="2721">
        <v>1</v>
      </c>
      <c r="F1942" s="293"/>
      <c r="G1942" s="1474" t="s">
        <v>6027</v>
      </c>
      <c r="H1942" s="2275"/>
      <c r="I1942" s="2275"/>
      <c r="J1942" s="2275"/>
      <c r="K1942" s="1477">
        <f t="shared" si="187"/>
        <v>0</v>
      </c>
      <c r="L1942" s="355" t="s">
        <v>6135</v>
      </c>
      <c r="M1942" s="438"/>
      <c r="N1942" s="439"/>
      <c r="O1942" s="437"/>
      <c r="P1942" s="438"/>
      <c r="Q1942" s="442"/>
      <c r="R1942" s="443"/>
      <c r="S1942" s="364"/>
      <c r="Z1942" s="609" t="s">
        <v>764</v>
      </c>
      <c r="AA1942" s="609" t="s">
        <v>3326</v>
      </c>
    </row>
    <row r="1943" spans="1:27" ht="17">
      <c r="A1943" s="2714"/>
      <c r="B1943" s="371">
        <v>112</v>
      </c>
      <c r="C1943" s="371" t="s">
        <v>2791</v>
      </c>
      <c r="D1943" s="2716">
        <f t="shared" si="186"/>
        <v>0</v>
      </c>
      <c r="E1943" s="2721">
        <v>1</v>
      </c>
      <c r="F1943" s="293"/>
      <c r="G1943" s="2284" t="s">
        <v>2792</v>
      </c>
      <c r="H1943" s="2275"/>
      <c r="I1943" s="2275"/>
      <c r="J1943" s="2275"/>
      <c r="K1943" s="1477">
        <f t="shared" si="187"/>
        <v>0</v>
      </c>
      <c r="L1943" s="355" t="s">
        <v>6135</v>
      </c>
      <c r="M1943" s="438"/>
      <c r="N1943" s="439"/>
      <c r="O1943" s="437"/>
      <c r="P1943" s="438"/>
      <c r="Q1943" s="442"/>
      <c r="R1943" s="443"/>
      <c r="S1943" s="364"/>
      <c r="Z1943" s="609" t="s">
        <v>764</v>
      </c>
      <c r="AA1943" s="609" t="s">
        <v>3326</v>
      </c>
    </row>
    <row r="1944" spans="1:27" ht="17.5" thickBot="1">
      <c r="A1944" s="2714"/>
      <c r="B1944" s="371"/>
      <c r="C1944" s="371"/>
      <c r="D1944" s="2716">
        <f t="shared" si="186"/>
        <v>1</v>
      </c>
      <c r="E1944" s="2721" t="s">
        <v>6557</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7">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7">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7">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174" t="s">
        <v>47</v>
      </c>
      <c r="H1950" s="3259" t="str">
        <f>$V$2</f>
        <v>2019年12月31日</v>
      </c>
      <c r="I1950" s="3244"/>
      <c r="J1950" s="3260"/>
      <c r="K1950" s="3243" t="str">
        <f>$V$3</f>
        <v>2018年12月31日</v>
      </c>
      <c r="L1950" s="3244"/>
      <c r="M1950" s="3244"/>
      <c r="N1950" s="355" t="s">
        <v>5280</v>
      </c>
      <c r="S1950" s="364"/>
      <c r="Z1950" s="609" t="s">
        <v>806</v>
      </c>
      <c r="AA1950" s="609" t="s">
        <v>3380</v>
      </c>
    </row>
    <row r="1951" spans="1:27" ht="17">
      <c r="A1951" s="2714"/>
      <c r="B1951" s="371"/>
      <c r="C1951" s="371"/>
      <c r="D1951" s="371"/>
      <c r="E1951" s="2716" t="s">
        <v>2749</v>
      </c>
      <c r="F1951" s="294"/>
      <c r="G1951" s="3175"/>
      <c r="H1951" s="2318" t="s">
        <v>2861</v>
      </c>
      <c r="I1951" s="2318" t="s">
        <v>3097</v>
      </c>
      <c r="J1951" s="2319" t="s">
        <v>2863</v>
      </c>
      <c r="K1951" s="2319" t="s">
        <v>2861</v>
      </c>
      <c r="L1951" s="2319" t="s">
        <v>3097</v>
      </c>
      <c r="M1951" s="2320" t="s">
        <v>2863</v>
      </c>
      <c r="S1951" s="364"/>
      <c r="Z1951" s="609" t="s">
        <v>806</v>
      </c>
      <c r="AA1951" s="609" t="s">
        <v>3380</v>
      </c>
    </row>
    <row r="1952" spans="1:27" ht="17">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7">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7">
      <c r="A1954" s="2714"/>
      <c r="B1954" s="371">
        <v>102.001</v>
      </c>
      <c r="C1954" s="371"/>
      <c r="D1954" s="2716">
        <f t="shared" si="188"/>
        <v>1</v>
      </c>
      <c r="E1954" s="2721">
        <v>0</v>
      </c>
      <c r="F1954" s="294"/>
      <c r="G1954" s="382" t="s">
        <v>6134</v>
      </c>
      <c r="H1954" s="2329">
        <v>0</v>
      </c>
      <c r="I1954" s="2329">
        <v>0</v>
      </c>
      <c r="J1954" s="2329">
        <v>0</v>
      </c>
      <c r="K1954" s="383"/>
      <c r="L1954" s="383"/>
      <c r="M1954" s="401">
        <f t="shared" ref="M1954:M1958" si="190">K1954-L1954</f>
        <v>0</v>
      </c>
      <c r="N1954" s="355" t="s">
        <v>6137</v>
      </c>
      <c r="S1954" s="364"/>
      <c r="Z1954" s="609" t="s">
        <v>806</v>
      </c>
      <c r="AA1954" s="609" t="s">
        <v>3380</v>
      </c>
    </row>
    <row r="1955" spans="1:29" ht="17">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6137</v>
      </c>
      <c r="S1955" s="364"/>
      <c r="Z1955" s="609" t="s">
        <v>806</v>
      </c>
      <c r="AA1955" s="609" t="s">
        <v>3380</v>
      </c>
      <c r="AC1955" s="369" t="s">
        <v>2794</v>
      </c>
    </row>
    <row r="1956" spans="1:29" ht="17">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7">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7">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7">
      <c r="A1960" s="2714"/>
      <c r="B1960" s="371"/>
      <c r="C1960" s="371" t="s">
        <v>2755</v>
      </c>
      <c r="D1960" s="371"/>
      <c r="F1960" s="294"/>
      <c r="G1960" s="301"/>
      <c r="H1960" s="315"/>
      <c r="I1960" s="315"/>
      <c r="J1960" s="315"/>
      <c r="K1960" s="315"/>
      <c r="L1960" s="315"/>
      <c r="M1960" s="315"/>
      <c r="S1960" s="364"/>
      <c r="Z1960" s="609" t="s">
        <v>806</v>
      </c>
      <c r="AA1960" s="609" t="s">
        <v>3380</v>
      </c>
    </row>
    <row r="1961" spans="1:29" ht="26">
      <c r="A1961" s="2714" t="s">
        <v>830</v>
      </c>
      <c r="B1961" s="371">
        <v>2</v>
      </c>
      <c r="C1961" s="371"/>
      <c r="D1961" s="2716" t="str">
        <f>VLOOKUP($A1961,Sheet_NoteList,2,0)</f>
        <v>按公允价值计量的可供出售金融资产</v>
      </c>
      <c r="E1961" s="2716" t="s">
        <v>6533</v>
      </c>
      <c r="F1961" s="294"/>
      <c r="G1961" s="372" t="str">
        <f>"("&amp;B1961&amp;")"&amp;D1961</f>
        <v>(2)按公允价值计量的可供出售金融资产</v>
      </c>
      <c r="H1961" s="1517" t="str">
        <f>$A1961</f>
        <v>1503e</v>
      </c>
      <c r="I1961" s="343" t="s">
        <v>5966</v>
      </c>
      <c r="J1961" s="301"/>
      <c r="K1961" s="3084"/>
      <c r="L1961" s="315"/>
      <c r="M1961" s="301"/>
      <c r="N1961" s="3084"/>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6525</v>
      </c>
      <c r="I1962" s="371" t="s">
        <v>6526</v>
      </c>
      <c r="J1962" s="371" t="s">
        <v>6527</v>
      </c>
      <c r="K1962" s="371" t="s">
        <v>6528</v>
      </c>
      <c r="L1962" s="291"/>
      <c r="M1962" s="301"/>
      <c r="S1962" s="364"/>
      <c r="Z1962" s="609" t="s">
        <v>806</v>
      </c>
      <c r="AA1962" s="609" t="s">
        <v>3380</v>
      </c>
    </row>
    <row r="1963" spans="1:29" ht="0.75" customHeight="1" thickBot="1">
      <c r="A1963" s="2714"/>
      <c r="B1963" s="371"/>
      <c r="C1963" s="371"/>
      <c r="D1963" s="371"/>
      <c r="E1963" s="586"/>
      <c r="F1963" s="586"/>
      <c r="G1963" s="586"/>
      <c r="H1963" s="371" t="s">
        <v>6404</v>
      </c>
      <c r="I1963" s="371" t="s">
        <v>6405</v>
      </c>
      <c r="J1963" s="371" t="s">
        <v>6406</v>
      </c>
      <c r="K1963" s="371" t="s">
        <v>6407</v>
      </c>
      <c r="L1963" s="291"/>
      <c r="M1963" s="301"/>
      <c r="S1963" s="364"/>
      <c r="Z1963" s="609" t="s">
        <v>806</v>
      </c>
      <c r="AA1963" s="609" t="s">
        <v>3380</v>
      </c>
    </row>
    <row r="1964" spans="1:29" ht="18" customHeight="1">
      <c r="A1964" s="2714"/>
      <c r="B1964" s="371"/>
      <c r="C1964" s="371"/>
      <c r="D1964" s="371"/>
      <c r="E1964" s="586" t="s">
        <v>2749</v>
      </c>
      <c r="F1964" s="414"/>
      <c r="G1964" s="3145" t="s">
        <v>3372</v>
      </c>
      <c r="H1964" s="3141" t="str">
        <f>$V$3</f>
        <v>2018年12月31日</v>
      </c>
      <c r="I1964" s="3141"/>
      <c r="J1964" s="3141"/>
      <c r="K1964" s="3142"/>
      <c r="L1964" s="355" t="s">
        <v>5280</v>
      </c>
      <c r="M1964" s="301"/>
      <c r="S1964" s="364"/>
      <c r="Z1964" s="609" t="s">
        <v>806</v>
      </c>
      <c r="AA1964" s="609" t="s">
        <v>3380</v>
      </c>
    </row>
    <row r="1965" spans="1:29" ht="52">
      <c r="A1965" s="2714"/>
      <c r="B1965" s="371"/>
      <c r="C1965" s="371"/>
      <c r="D1965" s="371"/>
      <c r="E1965" s="586" t="s">
        <v>2749</v>
      </c>
      <c r="F1965" s="363"/>
      <c r="G1965" s="3146"/>
      <c r="H1965" s="2688" t="s">
        <v>6045</v>
      </c>
      <c r="I1965" s="2688" t="s">
        <v>6046</v>
      </c>
      <c r="J1965" s="2688" t="s">
        <v>6047</v>
      </c>
      <c r="K1965" s="2691" t="s">
        <v>6048</v>
      </c>
      <c r="M1965" s="301"/>
      <c r="S1965" s="364"/>
      <c r="Z1965" s="609" t="s">
        <v>806</v>
      </c>
      <c r="AA1965" s="609" t="s">
        <v>3380</v>
      </c>
    </row>
    <row r="1966" spans="1:29" ht="17">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7">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7">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7">
      <c r="A1970" s="2714"/>
      <c r="B1970" s="371"/>
      <c r="C1970" s="371" t="s">
        <v>2755</v>
      </c>
      <c r="D1970" s="371"/>
      <c r="F1970" s="294"/>
      <c r="G1970" s="301"/>
      <c r="H1970" s="315"/>
      <c r="I1970" s="315"/>
      <c r="J1970" s="315"/>
      <c r="K1970" s="315"/>
      <c r="L1970" s="291"/>
      <c r="M1970" s="291"/>
      <c r="S1970" s="364"/>
      <c r="Z1970" s="609" t="s">
        <v>806</v>
      </c>
      <c r="AA1970" s="609" t="s">
        <v>3380</v>
      </c>
    </row>
    <row r="1971" spans="1:27" ht="26">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5416</v>
      </c>
      <c r="I1972" s="371" t="s">
        <v>5417</v>
      </c>
      <c r="J1972" s="371" t="s">
        <v>5418</v>
      </c>
      <c r="K1972" s="547" t="s">
        <v>5419</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5420</v>
      </c>
      <c r="I1973" s="371" t="s">
        <v>5421</v>
      </c>
      <c r="J1973" s="371" t="s">
        <v>5422</v>
      </c>
      <c r="K1973" s="547" t="s">
        <v>5423</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145" t="s">
        <v>3376</v>
      </c>
      <c r="H1974" s="3149" t="s">
        <v>2861</v>
      </c>
      <c r="I1974" s="3149"/>
      <c r="J1974" s="3149"/>
      <c r="K1974" s="3177"/>
      <c r="L1974" s="355" t="s">
        <v>5280</v>
      </c>
      <c r="M1974" s="1509"/>
      <c r="N1974" s="1509"/>
      <c r="O1974" s="1509"/>
      <c r="P1974" s="1509"/>
      <c r="Q1974" s="3297"/>
      <c r="R1974" s="443"/>
      <c r="S1974" s="364"/>
      <c r="Z1974" s="609" t="s">
        <v>806</v>
      </c>
      <c r="AA1974" s="609" t="s">
        <v>3371</v>
      </c>
    </row>
    <row r="1975" spans="1:27" ht="26">
      <c r="A1975" s="2714"/>
      <c r="B1975" s="371"/>
      <c r="C1975" s="371"/>
      <c r="D1975" s="2716"/>
      <c r="E1975" s="586" t="s">
        <v>2749</v>
      </c>
      <c r="F1975" s="414"/>
      <c r="G1975" s="3146"/>
      <c r="H1975" s="2474" t="str">
        <f>$Y$3</f>
        <v>2017年12月31日</v>
      </c>
      <c r="I1975" s="2294" t="s">
        <v>3027</v>
      </c>
      <c r="J1975" s="2294" t="s">
        <v>3028</v>
      </c>
      <c r="K1975" s="2334" t="str">
        <f>$V$3</f>
        <v>2018年12月31日</v>
      </c>
      <c r="L1975" s="355" t="s">
        <v>6139</v>
      </c>
      <c r="M1975" s="479"/>
      <c r="N1975" s="479"/>
      <c r="O1975" s="1462"/>
      <c r="P1975" s="1509"/>
      <c r="Q1975" s="3297"/>
      <c r="R1975" s="443"/>
      <c r="S1975" s="364"/>
      <c r="Z1975" s="609" t="s">
        <v>806</v>
      </c>
      <c r="AA1975" s="609" t="s">
        <v>3371</v>
      </c>
    </row>
    <row r="1976" spans="1:27" ht="17">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7">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7">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7">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7">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7">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7">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7">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7">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6">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5424</v>
      </c>
      <c r="I1987" s="371" t="s">
        <v>5425</v>
      </c>
      <c r="J1987" s="371" t="s">
        <v>5426</v>
      </c>
      <c r="K1987" s="547" t="s">
        <v>5427</v>
      </c>
      <c r="L1987" s="547" t="s">
        <v>5428</v>
      </c>
      <c r="M1987" s="371" t="s">
        <v>5429</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5430</v>
      </c>
      <c r="I1988" s="371" t="s">
        <v>5431</v>
      </c>
      <c r="J1988" s="371" t="s">
        <v>5432</v>
      </c>
      <c r="K1988" s="547" t="s">
        <v>5433</v>
      </c>
      <c r="L1988" s="547" t="s">
        <v>5434</v>
      </c>
      <c r="M1988" s="371" t="s">
        <v>5435</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145" t="s">
        <v>3376</v>
      </c>
      <c r="H1989" s="3149" t="s">
        <v>3097</v>
      </c>
      <c r="I1989" s="3149"/>
      <c r="J1989" s="3149"/>
      <c r="K1989" s="3149"/>
      <c r="L1989" s="3149" t="s">
        <v>3378</v>
      </c>
      <c r="M1989" s="3177" t="s">
        <v>3379</v>
      </c>
      <c r="N1989" s="355" t="s">
        <v>5280</v>
      </c>
      <c r="O1989" s="428"/>
      <c r="P1989" s="433"/>
      <c r="Q1989" s="442"/>
      <c r="R1989" s="443"/>
      <c r="S1989" s="364"/>
      <c r="Z1989" s="609" t="s">
        <v>806</v>
      </c>
      <c r="AA1989" s="609" t="s">
        <v>3371</v>
      </c>
    </row>
    <row r="1990" spans="1:27" ht="26">
      <c r="A1990" s="2714"/>
      <c r="B1990" s="371"/>
      <c r="C1990" s="371"/>
      <c r="D1990" s="2716"/>
      <c r="E1990" s="586" t="s">
        <v>2749</v>
      </c>
      <c r="F1990" s="414"/>
      <c r="G1990" s="3146"/>
      <c r="H1990" s="2474" t="str">
        <f>$Y$3</f>
        <v>2017年12月31日</v>
      </c>
      <c r="I1990" s="2294" t="s">
        <v>3027</v>
      </c>
      <c r="J1990" s="2294" t="s">
        <v>3028</v>
      </c>
      <c r="K1990" s="2333" t="str">
        <f>$V$3</f>
        <v>2018年12月31日</v>
      </c>
      <c r="L1990" s="3150"/>
      <c r="M1990" s="3261"/>
      <c r="N1990" s="355" t="s">
        <v>6139</v>
      </c>
      <c r="O1990" s="434"/>
      <c r="P1990" s="435"/>
      <c r="Q1990" s="442"/>
      <c r="R1990" s="443"/>
      <c r="S1990" s="364"/>
      <c r="Z1990" s="609" t="s">
        <v>806</v>
      </c>
      <c r="AA1990" s="609" t="s">
        <v>3371</v>
      </c>
    </row>
    <row r="1991" spans="1:27" ht="17">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7">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7">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7">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7">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7">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7">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7">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7">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6">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6">
      <c r="A2003" s="2714"/>
      <c r="B2003" s="371"/>
      <c r="C2003" s="371"/>
      <c r="D2003" s="2716"/>
      <c r="E2003" s="586" t="s">
        <v>2749</v>
      </c>
      <c r="F2003" s="414"/>
      <c r="G2003" s="2289" t="s">
        <v>3372</v>
      </c>
      <c r="H2003" s="2291" t="s">
        <v>3369</v>
      </c>
      <c r="I2003" s="2291" t="s">
        <v>3368</v>
      </c>
      <c r="J2003" s="2293" t="s">
        <v>3351</v>
      </c>
      <c r="K2003" s="355" t="s">
        <v>5280</v>
      </c>
      <c r="L2003" s="434"/>
      <c r="M2003" s="435"/>
      <c r="N2003" s="434"/>
      <c r="O2003" s="434"/>
      <c r="P2003" s="435"/>
      <c r="Q2003" s="442"/>
      <c r="R2003" s="443"/>
      <c r="S2003" s="364"/>
      <c r="Z2003" s="609" t="s">
        <v>806</v>
      </c>
      <c r="AA2003" s="609" t="s">
        <v>3380</v>
      </c>
    </row>
    <row r="2004" spans="1:31" ht="26">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6139</v>
      </c>
      <c r="L2004" s="437"/>
      <c r="M2004" s="438"/>
      <c r="N2004" s="439"/>
      <c r="O2004" s="437"/>
      <c r="P2004" s="438"/>
      <c r="Q2004" s="442"/>
      <c r="R2004" s="443"/>
      <c r="S2004" s="364"/>
      <c r="Z2004" s="609" t="s">
        <v>806</v>
      </c>
      <c r="AA2004" s="609" t="s">
        <v>3380</v>
      </c>
    </row>
    <row r="2005" spans="1:31" ht="17">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7">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7">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26">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7">
      <c r="A2009" s="2714"/>
      <c r="B2009" s="371">
        <v>108</v>
      </c>
      <c r="C2009" s="371" t="s">
        <v>2791</v>
      </c>
      <c r="D2009" s="2716">
        <f t="shared" si="196"/>
        <v>1</v>
      </c>
      <c r="E2009" s="2721">
        <v>1</v>
      </c>
      <c r="F2009" s="293"/>
      <c r="G2009" s="2548" t="s">
        <v>6136</v>
      </c>
      <c r="H2009" s="2275"/>
      <c r="I2009" s="2275"/>
      <c r="J2009" s="1477">
        <f t="shared" si="197"/>
        <v>0</v>
      </c>
      <c r="K2009" s="355" t="s">
        <v>6135</v>
      </c>
      <c r="L2009" s="437"/>
      <c r="M2009" s="438"/>
      <c r="N2009" s="439"/>
      <c r="O2009" s="437"/>
      <c r="P2009" s="438"/>
      <c r="Q2009" s="442"/>
      <c r="R2009" s="443"/>
      <c r="S2009" s="364"/>
      <c r="Z2009" s="609" t="s">
        <v>806</v>
      </c>
      <c r="AA2009" s="609" t="s">
        <v>3380</v>
      </c>
    </row>
    <row r="2010" spans="1:31" ht="17">
      <c r="A2010" s="2714"/>
      <c r="B2010" s="371">
        <v>109</v>
      </c>
      <c r="C2010" s="371" t="s">
        <v>2791</v>
      </c>
      <c r="D2010" s="2716">
        <f t="shared" si="196"/>
        <v>0</v>
      </c>
      <c r="E2010" s="2721">
        <v>1</v>
      </c>
      <c r="F2010" s="293"/>
      <c r="G2010" s="2284" t="s">
        <v>2792</v>
      </c>
      <c r="H2010" s="2275"/>
      <c r="I2010" s="2275"/>
      <c r="J2010" s="1477">
        <f t="shared" si="197"/>
        <v>0</v>
      </c>
      <c r="K2010" s="355" t="s">
        <v>6135</v>
      </c>
      <c r="L2010" s="437"/>
      <c r="M2010" s="438"/>
      <c r="N2010" s="439"/>
      <c r="O2010" s="437"/>
      <c r="P2010" s="438"/>
      <c r="Q2010" s="442"/>
      <c r="R2010" s="443"/>
      <c r="S2010" s="364"/>
      <c r="Z2010" s="609" t="s">
        <v>806</v>
      </c>
      <c r="AA2010" s="609" t="s">
        <v>3380</v>
      </c>
    </row>
    <row r="2011" spans="1:31" ht="26.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7">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6" hidden="1">
      <c r="A2013" s="2714" t="s">
        <v>841</v>
      </c>
      <c r="B2013" s="371">
        <v>4</v>
      </c>
      <c r="C2013" s="371"/>
      <c r="D2013" s="2716" t="str">
        <f>VLOOKUP($A2013,Sheet_NoteList,2,0)</f>
        <v>报告期内可供出售金融资产减值的变动情况</v>
      </c>
      <c r="E2013" s="2716" t="s">
        <v>6615</v>
      </c>
      <c r="F2013" s="294"/>
      <c r="G2013" s="372" t="str">
        <f>"("&amp;B2013&amp;")"&amp;D2013</f>
        <v>(4)报告期内可供出售金融资产减值的变动情况</v>
      </c>
      <c r="H2013" s="1517" t="str">
        <f>$A2013</f>
        <v>1503d</v>
      </c>
      <c r="I2013" s="343" t="s">
        <v>6618</v>
      </c>
      <c r="J2013" s="301" t="s">
        <v>6617</v>
      </c>
      <c r="K2013" s="301"/>
      <c r="L2013" s="315"/>
      <c r="M2013" s="301" t="s">
        <v>6617</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39"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5991</v>
      </c>
      <c r="P2015" s="291"/>
      <c r="S2015" s="364"/>
      <c r="Z2015" s="609" t="s">
        <v>806</v>
      </c>
      <c r="AA2015" s="609" t="s">
        <v>3380</v>
      </c>
      <c r="AE2015" s="369" t="s">
        <v>2761</v>
      </c>
    </row>
    <row r="2016" spans="1:31" ht="17"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7"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7"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7"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52">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4"/>
      <c r="L2021" s="315"/>
      <c r="M2021" s="301"/>
      <c r="N2021" s="3084"/>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9">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5280</v>
      </c>
      <c r="P2023" s="291"/>
      <c r="S2023" s="364"/>
      <c r="Z2023" s="609" t="s">
        <v>806</v>
      </c>
      <c r="AA2023" s="609" t="s">
        <v>3380</v>
      </c>
    </row>
    <row r="2024" spans="1:31" ht="17">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7">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7">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7">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7">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7">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7">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9">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5281</v>
      </c>
      <c r="S2034" s="364"/>
      <c r="Z2034" s="609" t="s">
        <v>849</v>
      </c>
      <c r="AA2034" s="609" t="s">
        <v>3401</v>
      </c>
    </row>
    <row r="2035" spans="1:29" ht="17">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7">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7">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7">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7">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7">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7">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7">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7">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7">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6">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6575</v>
      </c>
    </row>
    <row r="2046" spans="1:29" ht="1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7">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6">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145" t="s">
        <v>5134</v>
      </c>
      <c r="H2051" s="3153" t="str">
        <f>$V$2</f>
        <v>2019年12月31日</v>
      </c>
      <c r="I2051" s="3154"/>
      <c r="J2051" s="3154"/>
      <c r="K2051" s="3264"/>
      <c r="L2051" s="3265" t="str">
        <f>$V$3</f>
        <v>2018年12月31日</v>
      </c>
      <c r="M2051" s="3266"/>
      <c r="N2051" s="3266"/>
      <c r="O2051" s="3266"/>
      <c r="P2051" s="355" t="s">
        <v>5281</v>
      </c>
      <c r="Q2051" s="442"/>
      <c r="R2051" s="443"/>
      <c r="S2051" s="364"/>
      <c r="Z2051" s="609" t="s">
        <v>849</v>
      </c>
      <c r="AA2051" s="609" t="s">
        <v>3401</v>
      </c>
    </row>
    <row r="2052" spans="1:27" ht="17">
      <c r="A2052" s="2714"/>
      <c r="B2052" s="371"/>
      <c r="C2052" s="371"/>
      <c r="D2052" s="2716"/>
      <c r="E2052" s="586" t="s">
        <v>2749</v>
      </c>
      <c r="F2052" s="414"/>
      <c r="G2052" s="3146"/>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7">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7">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7">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7">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7">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7">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7">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7">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7">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9">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6469</v>
      </c>
      <c r="I2064" s="371" t="s">
        <v>6529</v>
      </c>
      <c r="J2064" s="293"/>
      <c r="K2064" s="1604"/>
      <c r="L2064" s="1604"/>
      <c r="M2064" s="1604"/>
      <c r="N2064" s="1604"/>
      <c r="O2064" s="1604"/>
      <c r="P2064" s="1604"/>
      <c r="Q2064" s="1604"/>
      <c r="R2064" s="1604"/>
      <c r="S2064" s="364"/>
      <c r="Z2064" s="609" t="s">
        <v>849</v>
      </c>
      <c r="AA2064" s="609" t="s">
        <v>3401</v>
      </c>
    </row>
    <row r="2065" spans="1:29" ht="26.5" thickTop="1">
      <c r="A2065" s="2714"/>
      <c r="B2065" s="371"/>
      <c r="C2065" s="371"/>
      <c r="D2065" s="2716"/>
      <c r="E2065" s="586" t="s">
        <v>2749</v>
      </c>
      <c r="F2065" s="414"/>
      <c r="G2065" s="2686" t="s">
        <v>5931</v>
      </c>
      <c r="H2065" s="2310" t="s">
        <v>6394</v>
      </c>
      <c r="I2065" s="2709" t="s">
        <v>5145</v>
      </c>
      <c r="J2065" s="355" t="s">
        <v>5281</v>
      </c>
      <c r="K2065" s="1604"/>
      <c r="L2065" s="1584" t="str">
        <f>I2065</f>
        <v>减值准备</v>
      </c>
      <c r="M2065" s="2658" t="str">
        <f>""&amp;"NoteID"&amp;""</f>
        <v>NoteID</v>
      </c>
      <c r="N2065" s="1604"/>
      <c r="P2065" s="1604"/>
      <c r="Q2065" s="1604"/>
      <c r="R2065" s="1604"/>
      <c r="S2065" s="364"/>
      <c r="Z2065" s="609" t="s">
        <v>849</v>
      </c>
      <c r="AA2065" s="609" t="s">
        <v>3401</v>
      </c>
    </row>
    <row r="2066" spans="1:29" ht="17">
      <c r="A2066" s="2714"/>
      <c r="B2066" s="371">
        <v>101</v>
      </c>
      <c r="C2066" s="371"/>
      <c r="D2066" s="2716">
        <f t="shared" ref="D2066:D2070" si="206">IF(OR(G2066="*",G2066="",G2066=0),0,COUNTIF($G$2066:$G$2070,G2066))</f>
        <v>1</v>
      </c>
      <c r="E2066" s="2721">
        <v>1</v>
      </c>
      <c r="F2066" s="293"/>
      <c r="G2066" s="1474" t="s">
        <v>5928</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7">
      <c r="A2067" s="2714"/>
      <c r="B2067" s="371">
        <v>102</v>
      </c>
      <c r="C2067" s="371"/>
      <c r="D2067" s="2716">
        <f t="shared" si="206"/>
        <v>1</v>
      </c>
      <c r="E2067" s="2721">
        <v>1</v>
      </c>
      <c r="F2067" s="293"/>
      <c r="G2067" s="1474" t="s">
        <v>5929</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7">
      <c r="A2068" s="2714"/>
      <c r="B2068" s="371">
        <v>103</v>
      </c>
      <c r="C2068" s="371"/>
      <c r="D2068" s="2716">
        <f t="shared" si="206"/>
        <v>1</v>
      </c>
      <c r="E2068" s="2721">
        <v>1</v>
      </c>
      <c r="F2068" s="293"/>
      <c r="G2068" s="1474" t="s">
        <v>5930</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7">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7.5" thickBot="1">
      <c r="A2071" s="2714"/>
      <c r="B2071" s="371"/>
      <c r="C2071" s="371" t="s">
        <v>2755</v>
      </c>
      <c r="D2071" s="2716"/>
      <c r="F2071" s="293"/>
      <c r="G2071" s="376"/>
      <c r="H2071" s="393"/>
      <c r="I2071" s="2253" t="s">
        <v>3002</v>
      </c>
      <c r="J2071" s="293"/>
      <c r="K2071" s="1604"/>
      <c r="L2071" s="2656" t="s">
        <v>5506</v>
      </c>
      <c r="M2071" s="2647"/>
      <c r="N2071" s="1604"/>
      <c r="O2071" s="2647"/>
      <c r="P2071" s="1604"/>
      <c r="Q2071" s="1604"/>
      <c r="R2071" s="1604"/>
      <c r="S2071" s="364"/>
      <c r="Z2071" s="609" t="s">
        <v>849</v>
      </c>
      <c r="AA2071" s="609" t="s">
        <v>3401</v>
      </c>
    </row>
    <row r="2072" spans="1:29" ht="17.5" thickTop="1">
      <c r="A2072" s="2714"/>
      <c r="B2072" s="371"/>
      <c r="C2072" s="371" t="s">
        <v>2565</v>
      </c>
      <c r="D2072" s="2716"/>
      <c r="F2072" s="293"/>
      <c r="G2072" s="1549" t="s">
        <v>5368</v>
      </c>
      <c r="H2072" s="1550" t="str">
        <f>G2032</f>
        <v>(1)其他债权投资情况</v>
      </c>
      <c r="I2072" s="1552"/>
      <c r="J2072" s="1553" t="s">
        <v>5369</v>
      </c>
      <c r="K2072" s="1604"/>
      <c r="L2072" s="2656"/>
      <c r="M2072" s="2647"/>
      <c r="N2072" s="1604"/>
      <c r="O2072" s="2647"/>
      <c r="P2072" s="1604"/>
      <c r="Q2072" s="1604"/>
      <c r="R2072" s="1604"/>
      <c r="S2072" s="364"/>
      <c r="Z2072" s="609" t="s">
        <v>849</v>
      </c>
      <c r="AA2072" s="609" t="s">
        <v>3401</v>
      </c>
    </row>
    <row r="2073" spans="1:29" ht="17">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7">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7">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7">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6">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6530</v>
      </c>
      <c r="I2080" s="547" t="s">
        <v>2947</v>
      </c>
      <c r="J2080" s="371" t="s">
        <v>2948</v>
      </c>
      <c r="K2080" s="547" t="s">
        <v>6531</v>
      </c>
      <c r="L2080" s="1604"/>
      <c r="M2080" s="1604"/>
      <c r="N2080" s="1604"/>
      <c r="O2080" s="1604"/>
      <c r="P2080" s="1604"/>
      <c r="Q2080" s="1604"/>
      <c r="R2080" s="1604"/>
      <c r="S2080" s="364"/>
      <c r="Z2080" s="609" t="s">
        <v>849</v>
      </c>
      <c r="AA2080" s="609" t="s">
        <v>3401</v>
      </c>
    </row>
    <row r="2081" spans="1:29" ht="39">
      <c r="A2081" s="2714"/>
      <c r="B2081" s="371"/>
      <c r="C2081" s="371"/>
      <c r="D2081" s="2716"/>
      <c r="E2081" s="586" t="s">
        <v>2749</v>
      </c>
      <c r="F2081" s="414"/>
      <c r="G2081" s="2686" t="s">
        <v>6408</v>
      </c>
      <c r="H2081" s="2310" t="s">
        <v>6409</v>
      </c>
      <c r="I2081" s="2687" t="s">
        <v>3360</v>
      </c>
      <c r="J2081" s="2687" t="s">
        <v>3097</v>
      </c>
      <c r="K2081" s="2689" t="s">
        <v>6410</v>
      </c>
      <c r="L2081" s="355" t="s">
        <v>5281</v>
      </c>
      <c r="M2081" s="1604"/>
      <c r="N2081" s="1604"/>
      <c r="O2081" s="1604"/>
      <c r="P2081" s="1604"/>
      <c r="Q2081" s="1604"/>
      <c r="R2081" s="1604"/>
      <c r="S2081" s="364"/>
      <c r="Z2081" s="609" t="s">
        <v>849</v>
      </c>
      <c r="AA2081" s="609" t="s">
        <v>3401</v>
      </c>
    </row>
    <row r="2082" spans="1:29" ht="17">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7">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7">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7">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7">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7">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7">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7">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6575</v>
      </c>
    </row>
    <row r="2091" spans="1:29" ht="17">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6">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6530</v>
      </c>
      <c r="I2093" s="371" t="s">
        <v>2947</v>
      </c>
      <c r="J2093" s="371" t="s">
        <v>2948</v>
      </c>
      <c r="K2093" s="547" t="s">
        <v>6531</v>
      </c>
      <c r="L2093" s="1604"/>
      <c r="M2093" s="1604"/>
      <c r="N2093" s="1604"/>
      <c r="O2093" s="1604"/>
      <c r="P2093" s="1604"/>
      <c r="Q2093" s="1604"/>
      <c r="R2093" s="1604"/>
      <c r="S2093" s="364"/>
      <c r="Z2093" s="609" t="s">
        <v>849</v>
      </c>
      <c r="AA2093" s="609" t="s">
        <v>3401</v>
      </c>
    </row>
    <row r="2094" spans="1:29" ht="39">
      <c r="A2094" s="2714"/>
      <c r="B2094" s="371"/>
      <c r="C2094" s="371"/>
      <c r="D2094" s="2716"/>
      <c r="E2094" s="586" t="s">
        <v>2749</v>
      </c>
      <c r="F2094" s="414"/>
      <c r="G2094" s="2686" t="s">
        <v>6411</v>
      </c>
      <c r="H2094" s="2310" t="s">
        <v>6412</v>
      </c>
      <c r="I2094" s="2687" t="s">
        <v>3148</v>
      </c>
      <c r="J2094" s="2687" t="s">
        <v>3097</v>
      </c>
      <c r="K2094" s="2689" t="s">
        <v>6413</v>
      </c>
      <c r="L2094" s="355" t="s">
        <v>5281</v>
      </c>
      <c r="M2094" s="1604"/>
      <c r="N2094" s="1604"/>
      <c r="O2094" s="1604"/>
      <c r="P2094" s="1604"/>
      <c r="Q2094" s="1604"/>
      <c r="R2094" s="1604"/>
      <c r="S2094" s="364"/>
      <c r="Z2094" s="609" t="s">
        <v>849</v>
      </c>
      <c r="AA2094" s="609" t="s">
        <v>3401</v>
      </c>
    </row>
    <row r="2095" spans="1:29" ht="17">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7">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7">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7">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7">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7">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7">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7">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6575</v>
      </c>
    </row>
    <row r="2104" spans="1:29" ht="17">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6">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6530</v>
      </c>
      <c r="I2106" s="371" t="s">
        <v>2947</v>
      </c>
      <c r="J2106" s="371" t="s">
        <v>2948</v>
      </c>
      <c r="K2106" s="547" t="s">
        <v>6531</v>
      </c>
      <c r="L2106" s="1604"/>
      <c r="M2106" s="1604"/>
      <c r="N2106" s="1604"/>
      <c r="O2106" s="1604"/>
      <c r="P2106" s="1604"/>
      <c r="Q2106" s="1604"/>
      <c r="R2106" s="1604"/>
      <c r="S2106" s="364"/>
      <c r="Z2106" s="609" t="s">
        <v>849</v>
      </c>
      <c r="AA2106" s="609" t="s">
        <v>3401</v>
      </c>
    </row>
    <row r="2107" spans="1:29" ht="39">
      <c r="A2107" s="2714"/>
      <c r="B2107" s="371"/>
      <c r="C2107" s="371"/>
      <c r="D2107" s="2716"/>
      <c r="E2107" s="586" t="s">
        <v>2749</v>
      </c>
      <c r="F2107" s="414"/>
      <c r="G2107" s="2686" t="s">
        <v>6414</v>
      </c>
      <c r="H2107" s="2310" t="s">
        <v>6415</v>
      </c>
      <c r="I2107" s="2687" t="s">
        <v>3148</v>
      </c>
      <c r="J2107" s="2687" t="s">
        <v>3097</v>
      </c>
      <c r="K2107" s="2689" t="s">
        <v>6416</v>
      </c>
      <c r="L2107" s="355" t="s">
        <v>5281</v>
      </c>
      <c r="M2107" s="1604"/>
      <c r="N2107" s="1604"/>
      <c r="O2107" s="1604"/>
      <c r="P2107" s="1604"/>
      <c r="Q2107" s="1604"/>
      <c r="R2107" s="1604"/>
      <c r="S2107" s="364"/>
      <c r="Z2107" s="609" t="s">
        <v>849</v>
      </c>
      <c r="AA2107" s="609" t="s">
        <v>3401</v>
      </c>
    </row>
    <row r="2108" spans="1:29" ht="17">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7">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7">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7">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7">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7">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7">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7">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6575</v>
      </c>
    </row>
    <row r="2117" spans="1:29" ht="17">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6">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145" t="s">
        <v>5117</v>
      </c>
      <c r="H2121" s="3151" t="str">
        <f>$V$3</f>
        <v>2018年12月31日</v>
      </c>
      <c r="I2121" s="3149" t="s">
        <v>5210</v>
      </c>
      <c r="J2121" s="3151" t="str">
        <f>$X$3</f>
        <v>2019年1月1日</v>
      </c>
      <c r="K2121" s="3179" t="s">
        <v>2919</v>
      </c>
      <c r="L2121" s="3179"/>
      <c r="M2121" s="3179"/>
      <c r="N2121" s="3262" t="str">
        <f>$V$2</f>
        <v>2019年12月31日</v>
      </c>
      <c r="O2121" s="428"/>
      <c r="P2121" s="433"/>
      <c r="Q2121" s="442"/>
      <c r="R2121" s="443"/>
      <c r="S2121" s="364"/>
      <c r="Z2121" s="609" t="s">
        <v>849</v>
      </c>
      <c r="AA2121" s="609" t="s">
        <v>3401</v>
      </c>
    </row>
    <row r="2122" spans="1:29" ht="26">
      <c r="A2122" s="2714"/>
      <c r="B2122" s="371"/>
      <c r="C2122" s="371"/>
      <c r="D2122" s="2716"/>
      <c r="E2122" s="586" t="s">
        <v>2749</v>
      </c>
      <c r="F2122" s="414"/>
      <c r="G2122" s="3146"/>
      <c r="H2122" s="3152"/>
      <c r="I2122" s="3150"/>
      <c r="J2122" s="3152"/>
      <c r="K2122" s="2239" t="s">
        <v>5211</v>
      </c>
      <c r="L2122" s="2239" t="s">
        <v>5212</v>
      </c>
      <c r="M2122" s="2294" t="s">
        <v>5213</v>
      </c>
      <c r="N2122" s="3263"/>
      <c r="O2122" s="434"/>
      <c r="P2122" s="435"/>
      <c r="Q2122" s="442"/>
      <c r="R2122" s="443"/>
      <c r="S2122" s="364"/>
      <c r="Z2122" s="609" t="s">
        <v>849</v>
      </c>
      <c r="AA2122" s="609" t="s">
        <v>3401</v>
      </c>
    </row>
    <row r="2123" spans="1:29" ht="17">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7">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7">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7">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7">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7.5" thickTop="1">
      <c r="A2130" s="2714"/>
      <c r="B2130" s="371"/>
      <c r="C2130" s="371" t="s">
        <v>2565</v>
      </c>
      <c r="D2130" s="2716"/>
      <c r="F2130" s="293"/>
      <c r="G2130" s="1549" t="s">
        <v>5368</v>
      </c>
      <c r="H2130" s="1550" t="str">
        <f>G2063</f>
        <v>(3)其他债权投资按减值计提方法分类披露（三阶段模型）</v>
      </c>
      <c r="I2130" s="1551"/>
      <c r="J2130" s="1551"/>
      <c r="K2130" s="1551"/>
      <c r="L2130" s="1551"/>
      <c r="M2130" s="1551"/>
      <c r="N2130" s="1552"/>
      <c r="O2130" s="1553" t="s">
        <v>5369</v>
      </c>
      <c r="P2130" s="425"/>
      <c r="Q2130" s="442"/>
      <c r="R2130" s="442"/>
      <c r="S2130" s="364"/>
      <c r="Z2130" s="609" t="s">
        <v>849</v>
      </c>
      <c r="AA2130" s="609" t="s">
        <v>3401</v>
      </c>
    </row>
    <row r="2131" spans="1:27" ht="17">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7">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7">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7">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6">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61" t="s">
        <v>5854</v>
      </c>
      <c r="H2140" s="2291" t="s">
        <v>3348</v>
      </c>
      <c r="I2140" s="2291" t="s">
        <v>3349</v>
      </c>
      <c r="J2140" s="2291" t="s">
        <v>3350</v>
      </c>
      <c r="K2140" s="3303" t="s">
        <v>3351</v>
      </c>
      <c r="L2140" s="355" t="s">
        <v>5281</v>
      </c>
      <c r="M2140" s="433"/>
      <c r="N2140" s="428"/>
      <c r="O2140" s="428"/>
      <c r="P2140" s="433"/>
      <c r="Q2140" s="442"/>
      <c r="R2140" s="443"/>
      <c r="S2140" s="364"/>
      <c r="Z2140" s="609" t="s">
        <v>849</v>
      </c>
      <c r="AA2140" s="609" t="s">
        <v>3401</v>
      </c>
    </row>
    <row r="2141" spans="1:27" ht="39">
      <c r="A2141" s="2714"/>
      <c r="B2141" s="371"/>
      <c r="C2141" s="371"/>
      <c r="D2141" s="2716"/>
      <c r="E2141" s="2716" t="s">
        <v>2749</v>
      </c>
      <c r="F2141" s="293"/>
      <c r="G2141" s="3162"/>
      <c r="H2141" s="2294" t="s">
        <v>3352</v>
      </c>
      <c r="I2141" s="2294" t="s">
        <v>3353</v>
      </c>
      <c r="J2141" s="2294" t="s">
        <v>3354</v>
      </c>
      <c r="K2141" s="3304"/>
      <c r="L2141" s="434"/>
      <c r="M2141" s="435"/>
      <c r="N2141" s="434"/>
      <c r="O2141" s="434"/>
      <c r="P2141" s="435"/>
      <c r="Q2141" s="442"/>
      <c r="R2141" s="443"/>
      <c r="S2141" s="364"/>
      <c r="Z2141" s="609" t="s">
        <v>849</v>
      </c>
      <c r="AA2141" s="609" t="s">
        <v>3401</v>
      </c>
    </row>
    <row r="2142" spans="1:27" ht="17">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7">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6">
      <c r="A2144" s="2714"/>
      <c r="B2144" s="371">
        <v>103</v>
      </c>
      <c r="C2144" s="371"/>
      <c r="D2144" s="2716">
        <f t="shared" si="214"/>
        <v>1</v>
      </c>
      <c r="E2144" s="2721">
        <v>1</v>
      </c>
      <c r="F2144" s="293"/>
      <c r="G2144" s="578" t="s">
        <v>5203</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6">
      <c r="A2145" s="2714"/>
      <c r="B2145" s="371">
        <v>104</v>
      </c>
      <c r="C2145" s="371"/>
      <c r="D2145" s="2716">
        <f t="shared" si="214"/>
        <v>1</v>
      </c>
      <c r="E2145" s="2721">
        <v>1</v>
      </c>
      <c r="F2145" s="293"/>
      <c r="G2145" s="578" t="s">
        <v>5204</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6">
      <c r="A2146" s="2714"/>
      <c r="B2146" s="371">
        <v>105</v>
      </c>
      <c r="C2146" s="371"/>
      <c r="D2146" s="2716">
        <f t="shared" si="214"/>
        <v>1</v>
      </c>
      <c r="E2146" s="2721">
        <v>1</v>
      </c>
      <c r="F2146" s="293"/>
      <c r="G2146" s="578" t="s">
        <v>5205</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6">
      <c r="A2147" s="2714"/>
      <c r="B2147" s="371">
        <v>106</v>
      </c>
      <c r="C2147" s="371"/>
      <c r="D2147" s="2716">
        <f t="shared" si="214"/>
        <v>1</v>
      </c>
      <c r="E2147" s="2721">
        <v>1</v>
      </c>
      <c r="F2147" s="293"/>
      <c r="G2147" s="578" t="s">
        <v>5206</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7">
      <c r="A2148" s="2714"/>
      <c r="B2148" s="371">
        <v>107</v>
      </c>
      <c r="C2148" s="371"/>
      <c r="D2148" s="2716">
        <f t="shared" si="214"/>
        <v>1</v>
      </c>
      <c r="E2148" s="2721">
        <v>1</v>
      </c>
      <c r="F2148" s="293"/>
      <c r="G2148" s="1486" t="s">
        <v>5207</v>
      </c>
      <c r="H2148" s="309"/>
      <c r="I2148" s="422"/>
      <c r="J2148" s="309"/>
      <c r="K2148" s="361">
        <f t="shared" si="215"/>
        <v>0</v>
      </c>
      <c r="L2148" s="437"/>
      <c r="M2148" s="438"/>
      <c r="N2148" s="439"/>
      <c r="O2148" s="437"/>
      <c r="P2148" s="438"/>
      <c r="Q2148" s="442"/>
      <c r="R2148" s="443"/>
      <c r="S2148" s="364"/>
      <c r="Z2148" s="609" t="s">
        <v>849</v>
      </c>
      <c r="AA2148" s="609" t="s">
        <v>3401</v>
      </c>
    </row>
    <row r="2149" spans="1:27" ht="17">
      <c r="A2149" s="2714"/>
      <c r="B2149" s="371">
        <v>108</v>
      </c>
      <c r="C2149" s="371"/>
      <c r="D2149" s="2716">
        <f t="shared" si="214"/>
        <v>1</v>
      </c>
      <c r="E2149" s="2721">
        <v>-1</v>
      </c>
      <c r="F2149" s="293"/>
      <c r="G2149" s="1486" t="s">
        <v>5208</v>
      </c>
      <c r="H2149" s="309"/>
      <c r="I2149" s="422"/>
      <c r="J2149" s="309"/>
      <c r="K2149" s="361">
        <f t="shared" si="215"/>
        <v>0</v>
      </c>
      <c r="L2149" s="437"/>
      <c r="M2149" s="438"/>
      <c r="N2149" s="439"/>
      <c r="O2149" s="437"/>
      <c r="P2149" s="438"/>
      <c r="Q2149" s="442"/>
      <c r="R2149" s="443"/>
      <c r="S2149" s="364"/>
      <c r="Z2149" s="609" t="s">
        <v>849</v>
      </c>
      <c r="AA2149" s="609" t="s">
        <v>3401</v>
      </c>
    </row>
    <row r="2150" spans="1:27" ht="17">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7">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6">
      <c r="A2152" s="2714"/>
      <c r="B2152" s="371">
        <v>111</v>
      </c>
      <c r="C2152" s="371"/>
      <c r="D2152" s="2716">
        <f t="shared" si="214"/>
        <v>1</v>
      </c>
      <c r="E2152" s="2721">
        <v>1</v>
      </c>
      <c r="F2152" s="293"/>
      <c r="G2152" s="1486" t="s">
        <v>5209</v>
      </c>
      <c r="H2152" s="309"/>
      <c r="I2152" s="422"/>
      <c r="J2152" s="309"/>
      <c r="K2152" s="361">
        <f t="shared" si="215"/>
        <v>0</v>
      </c>
      <c r="L2152" s="437"/>
      <c r="M2152" s="438"/>
      <c r="N2152" s="439"/>
      <c r="O2152" s="437"/>
      <c r="P2152" s="438"/>
      <c r="Q2152" s="442"/>
      <c r="R2152" s="443"/>
      <c r="S2152" s="364"/>
      <c r="Z2152" s="609" t="s">
        <v>849</v>
      </c>
      <c r="AA2152" s="609" t="s">
        <v>3401</v>
      </c>
    </row>
    <row r="2153" spans="1:27" ht="17">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7">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7">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5662</v>
      </c>
    </row>
    <row r="2157" spans="1:27" ht="17">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5662</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5662</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5662</v>
      </c>
    </row>
    <row r="2160" spans="1:27" ht="18" customHeight="1">
      <c r="A2160" s="2714"/>
      <c r="B2160" s="371"/>
      <c r="C2160" s="371"/>
      <c r="D2160" s="371"/>
      <c r="E2160" s="2716" t="s">
        <v>2749</v>
      </c>
      <c r="F2160" s="387"/>
      <c r="G2160" s="3222" t="s">
        <v>47</v>
      </c>
      <c r="H2160" s="3259" t="str">
        <f>$V$2</f>
        <v>2019年12月31日</v>
      </c>
      <c r="I2160" s="3244"/>
      <c r="J2160" s="3260"/>
      <c r="K2160" s="3243" t="str">
        <f>$V$3</f>
        <v>2018年12月31日</v>
      </c>
      <c r="L2160" s="3244"/>
      <c r="M2160" s="3244"/>
      <c r="N2160" s="355" t="s">
        <v>5282</v>
      </c>
      <c r="S2160" s="364"/>
      <c r="Z2160" s="609" t="s">
        <v>904</v>
      </c>
      <c r="AA2160" s="609" t="s">
        <v>5662</v>
      </c>
    </row>
    <row r="2161" spans="1:27" ht="17">
      <c r="A2161" s="2714"/>
      <c r="B2161" s="371"/>
      <c r="C2161" s="371"/>
      <c r="D2161" s="371"/>
      <c r="E2161" s="2716" t="s">
        <v>2749</v>
      </c>
      <c r="F2161" s="294"/>
      <c r="G2161" s="3223"/>
      <c r="H2161" s="554" t="s">
        <v>2861</v>
      </c>
      <c r="I2161" s="554" t="s">
        <v>3097</v>
      </c>
      <c r="J2161" s="555" t="s">
        <v>2863</v>
      </c>
      <c r="K2161" s="555" t="s">
        <v>2861</v>
      </c>
      <c r="L2161" s="555" t="s">
        <v>3097</v>
      </c>
      <c r="M2161" s="556" t="s">
        <v>2863</v>
      </c>
      <c r="S2161" s="364"/>
      <c r="Z2161" s="609" t="s">
        <v>904</v>
      </c>
      <c r="AA2161" s="609" t="s">
        <v>5662</v>
      </c>
    </row>
    <row r="2162" spans="1:27" ht="17">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5662</v>
      </c>
    </row>
    <row r="2163" spans="1:27" ht="17">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5662</v>
      </c>
    </row>
    <row r="2164" spans="1:27" ht="17">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5662</v>
      </c>
    </row>
    <row r="2165" spans="1:27" ht="17">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5662</v>
      </c>
    </row>
    <row r="2166" spans="1:27" ht="17">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5662</v>
      </c>
    </row>
    <row r="2167" spans="1:27" ht="17">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5662</v>
      </c>
    </row>
    <row r="2168" spans="1:27" ht="17">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5662</v>
      </c>
    </row>
    <row r="2169" spans="1:27" ht="1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5662</v>
      </c>
    </row>
    <row r="2170" spans="1:27" ht="17">
      <c r="A2170" s="2714"/>
      <c r="B2170" s="371"/>
      <c r="C2170" s="371" t="s">
        <v>2755</v>
      </c>
      <c r="D2170" s="371"/>
      <c r="F2170" s="294"/>
      <c r="G2170" s="557"/>
      <c r="H2170" s="315"/>
      <c r="I2170" s="315"/>
      <c r="J2170" s="315"/>
      <c r="K2170" s="315"/>
      <c r="L2170" s="315"/>
      <c r="M2170" s="315"/>
      <c r="S2170" s="364"/>
      <c r="Z2170" s="609" t="s">
        <v>904</v>
      </c>
      <c r="AA2170" s="609" t="s">
        <v>5662</v>
      </c>
    </row>
    <row r="2171" spans="1:27" ht="17">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4"/>
      <c r="L2171" s="315"/>
      <c r="M2171" s="301"/>
      <c r="N2171" s="3084"/>
      <c r="O2171" s="315"/>
      <c r="P2171" s="301"/>
      <c r="Q2171" s="290" t="str">
        <f>IF($I2171="不适用","",IF(ROUND(SUM($H$2174:$K$2179),2)=0,"请输入",""))</f>
        <v>请输入</v>
      </c>
      <c r="S2171" s="364"/>
      <c r="Z2171" s="609" t="s">
        <v>904</v>
      </c>
      <c r="AA2171" s="609" t="s">
        <v>5662</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5662</v>
      </c>
    </row>
    <row r="2173" spans="1:27" ht="17">
      <c r="A2173" s="2714"/>
      <c r="B2173" s="371">
        <v>1.2E-2</v>
      </c>
      <c r="C2173" s="371"/>
      <c r="D2173" s="371"/>
      <c r="E2173" s="2716" t="s">
        <v>2749</v>
      </c>
      <c r="F2173" s="294"/>
      <c r="G2173" s="378" t="s">
        <v>3435</v>
      </c>
      <c r="H2173" s="398" t="s">
        <v>3319</v>
      </c>
      <c r="I2173" s="398" t="s">
        <v>3320</v>
      </c>
      <c r="J2173" s="559" t="s">
        <v>3321</v>
      </c>
      <c r="K2173" s="560" t="s">
        <v>3322</v>
      </c>
      <c r="L2173" s="355" t="s">
        <v>5282</v>
      </c>
      <c r="M2173" s="291"/>
      <c r="S2173" s="364"/>
      <c r="Z2173" s="609" t="s">
        <v>904</v>
      </c>
      <c r="AA2173" s="609" t="s">
        <v>5662</v>
      </c>
    </row>
    <row r="2174" spans="1:27" ht="17">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5662</v>
      </c>
    </row>
    <row r="2175" spans="1:27" ht="17">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5662</v>
      </c>
    </row>
    <row r="2176" spans="1:27" ht="17">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5662</v>
      </c>
    </row>
    <row r="2177" spans="1:27" ht="17">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5662</v>
      </c>
    </row>
    <row r="2178" spans="1:27" ht="17">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5662</v>
      </c>
    </row>
    <row r="2179" spans="1:27" ht="1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5662</v>
      </c>
    </row>
    <row r="2180" spans="1:27" ht="17">
      <c r="A2180" s="2714"/>
      <c r="B2180" s="371"/>
      <c r="C2180" s="371" t="s">
        <v>2755</v>
      </c>
      <c r="D2180" s="371"/>
      <c r="F2180" s="294"/>
      <c r="G2180" s="301"/>
      <c r="H2180" s="349"/>
      <c r="I2180" s="350"/>
      <c r="J2180" s="350"/>
      <c r="K2180" s="350"/>
      <c r="L2180" s="291"/>
      <c r="M2180" s="291"/>
      <c r="S2180" s="364"/>
      <c r="Z2180" s="609" t="s">
        <v>904</v>
      </c>
      <c r="AA2180" s="609" t="s">
        <v>5662</v>
      </c>
    </row>
    <row r="2181" spans="1:27" ht="26">
      <c r="A2181" s="2714" t="s">
        <v>917</v>
      </c>
      <c r="B2181" s="371">
        <v>3</v>
      </c>
      <c r="C2181" s="371"/>
      <c r="D2181" s="2716" t="str">
        <f>VLOOKUP($A2181,Sheet_NoteList,2,0)</f>
        <v>本期重分类的持有至到期投资</v>
      </c>
      <c r="E2181" s="2716" t="s">
        <v>6533</v>
      </c>
      <c r="F2181" s="294"/>
      <c r="G2181" s="372" t="str">
        <f>"("&amp;B2181&amp;")"&amp;D2181</f>
        <v>(3)本期重分类的持有至到期投资</v>
      </c>
      <c r="H2181" s="1517" t="str">
        <f>$A2181</f>
        <v>1501e</v>
      </c>
      <c r="I2181" s="343" t="s">
        <v>5966</v>
      </c>
      <c r="J2181" s="301"/>
      <c r="K2181" s="3084"/>
      <c r="L2181" s="315"/>
      <c r="M2181" s="301"/>
      <c r="N2181" s="3084"/>
      <c r="O2181" s="315"/>
      <c r="P2181" s="301"/>
      <c r="Q2181" s="290" t="str">
        <f>IF($I2181="不适用","",IF(ROUND(SUM($H$2184:$J$2189),2)=0,"请输入",""))</f>
        <v>请输入</v>
      </c>
      <c r="S2181" s="364"/>
      <c r="Z2181" s="609" t="s">
        <v>904</v>
      </c>
      <c r="AA2181" s="609" t="s">
        <v>5662</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5662</v>
      </c>
    </row>
    <row r="2183" spans="1:27" ht="39">
      <c r="A2183" s="2714"/>
      <c r="B2183" s="371"/>
      <c r="C2183" s="371"/>
      <c r="D2183" s="371"/>
      <c r="E2183" s="586" t="s">
        <v>2749</v>
      </c>
      <c r="F2183" s="363"/>
      <c r="G2183" s="2288" t="s">
        <v>47</v>
      </c>
      <c r="H2183" s="2290" t="s">
        <v>3439</v>
      </c>
      <c r="I2183" s="2290" t="s">
        <v>3440</v>
      </c>
      <c r="J2183" s="2281" t="s">
        <v>6029</v>
      </c>
      <c r="K2183" s="343"/>
      <c r="L2183" s="291"/>
      <c r="M2183" s="291"/>
      <c r="S2183" s="364"/>
      <c r="Z2183" s="609" t="s">
        <v>904</v>
      </c>
      <c r="AA2183" s="609" t="s">
        <v>5662</v>
      </c>
    </row>
    <row r="2184" spans="1:27" ht="17">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5662</v>
      </c>
    </row>
    <row r="2185" spans="1:27" ht="17">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5662</v>
      </c>
    </row>
    <row r="2186" spans="1:27" ht="17">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5662</v>
      </c>
    </row>
    <row r="2187" spans="1:27" ht="17">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5662</v>
      </c>
    </row>
    <row r="2188" spans="1:27" ht="17">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5662</v>
      </c>
    </row>
    <row r="2189" spans="1:27" ht="1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5662</v>
      </c>
    </row>
    <row r="2190" spans="1:27" ht="17">
      <c r="A2190" s="2714"/>
      <c r="B2190" s="371"/>
      <c r="C2190" s="371" t="s">
        <v>2755</v>
      </c>
      <c r="D2190" s="371"/>
      <c r="F2190" s="294"/>
      <c r="G2190" s="301"/>
      <c r="H2190" s="315"/>
      <c r="I2190" s="393"/>
      <c r="J2190" s="393"/>
      <c r="K2190" s="291"/>
      <c r="L2190" s="291"/>
      <c r="M2190" s="291"/>
      <c r="S2190" s="364"/>
      <c r="Z2190" s="609" t="s">
        <v>904</v>
      </c>
      <c r="AA2190" s="609" t="s">
        <v>5662</v>
      </c>
    </row>
    <row r="2191" spans="1:27" ht="17">
      <c r="A2191" s="2714" t="s">
        <v>5588</v>
      </c>
      <c r="B2191" s="371">
        <v>4</v>
      </c>
      <c r="C2191" s="371"/>
      <c r="D2191" s="2716" t="str">
        <f>VLOOKUP($A2191,Sheet_NoteList,2,0)</f>
        <v>外币持有至到期投资</v>
      </c>
      <c r="E2191" s="2716" t="s">
        <v>6533</v>
      </c>
      <c r="F2191" s="293"/>
      <c r="G2191" s="372" t="str">
        <f>"("&amp;B2191&amp;")"&amp;D2191</f>
        <v>(4)外币持有至到期投资</v>
      </c>
      <c r="H2191" s="1517" t="str">
        <f>$A2191</f>
        <v>1501f</v>
      </c>
      <c r="I2191" s="343" t="s">
        <v>5592</v>
      </c>
      <c r="J2191" s="301" t="s">
        <v>5593</v>
      </c>
      <c r="K2191" s="2210">
        <f>H2199</f>
        <v>0</v>
      </c>
      <c r="L2191" s="349" t="str">
        <f>IF($I2191="适用",IF(ROUND(K$2156-K2191,2)=0,"F/S",ROUND(K$2156-K2191,2)),"#N/A")</f>
        <v>F/S</v>
      </c>
      <c r="M2191" s="301" t="s">
        <v>5594</v>
      </c>
      <c r="N2191" s="2210">
        <f>I2199</f>
        <v>0</v>
      </c>
      <c r="O2191" s="349" t="str">
        <f>IF($I2191="适用",IF(ROUND(N$2156-N2191,2)=0,"F/S",ROUND(N$2156-N2191,2)),"#N/A")</f>
        <v>F/S</v>
      </c>
      <c r="P2191" s="301"/>
      <c r="S2191" s="364"/>
      <c r="Z2191" s="609" t="s">
        <v>904</v>
      </c>
      <c r="AA2191" s="609" t="s">
        <v>5662</v>
      </c>
    </row>
    <row r="2192" spans="1:27" ht="0.75" customHeight="1" thickBot="1">
      <c r="A2192" s="2714"/>
      <c r="B2192" s="371"/>
      <c r="C2192" s="371"/>
      <c r="D2192" s="2716"/>
      <c r="F2192" s="371"/>
      <c r="G2192" s="405" t="s">
        <v>5596</v>
      </c>
      <c r="H2192" s="371" t="s">
        <v>3073</v>
      </c>
      <c r="I2192" s="371" t="s">
        <v>3074</v>
      </c>
      <c r="J2192" s="371" t="s">
        <v>3075</v>
      </c>
      <c r="K2192" s="391"/>
      <c r="L2192" s="349"/>
      <c r="M2192" s="301"/>
      <c r="N2192" s="391"/>
      <c r="O2192" s="349"/>
      <c r="P2192" s="301"/>
      <c r="S2192" s="364"/>
      <c r="Z2192" s="609" t="s">
        <v>904</v>
      </c>
      <c r="AA2192" s="609" t="s">
        <v>5662</v>
      </c>
    </row>
    <row r="2193" spans="1:27" ht="26">
      <c r="A2193" s="2714"/>
      <c r="B2193" s="371"/>
      <c r="C2193" s="371"/>
      <c r="D2193" s="2716"/>
      <c r="E2193" s="2716" t="s">
        <v>2749</v>
      </c>
      <c r="F2193" s="293"/>
      <c r="G2193" s="1635" t="s">
        <v>47</v>
      </c>
      <c r="H2193" s="1627" t="s">
        <v>3076</v>
      </c>
      <c r="I2193" s="1627" t="s">
        <v>3077</v>
      </c>
      <c r="J2193" s="1628" t="s">
        <v>3078</v>
      </c>
      <c r="K2193" s="355" t="s">
        <v>5605</v>
      </c>
      <c r="L2193" s="291"/>
      <c r="M2193" s="301"/>
      <c r="N2193" s="391"/>
      <c r="O2193" s="349"/>
      <c r="P2193" s="301"/>
      <c r="S2193" s="364"/>
      <c r="Z2193" s="609" t="s">
        <v>904</v>
      </c>
      <c r="AA2193" s="609" t="s">
        <v>5662</v>
      </c>
    </row>
    <row r="2194" spans="1:27" ht="17">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5365</v>
      </c>
      <c r="L2194" s="1522" t="s">
        <v>5366</v>
      </c>
      <c r="M2194" s="301"/>
      <c r="N2194" s="391"/>
      <c r="O2194" s="349"/>
      <c r="P2194" s="301"/>
      <c r="S2194" s="364"/>
      <c r="Z2194" s="609" t="s">
        <v>904</v>
      </c>
      <c r="AA2194" s="609" t="s">
        <v>5662</v>
      </c>
    </row>
    <row r="2195" spans="1:27" ht="17">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5662</v>
      </c>
    </row>
    <row r="2196" spans="1:27" ht="17">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5662</v>
      </c>
    </row>
    <row r="2197" spans="1:27" ht="17">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5662</v>
      </c>
    </row>
    <row r="2198" spans="1:27" ht="17">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5662</v>
      </c>
    </row>
    <row r="2199" spans="1:27" ht="1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5662</v>
      </c>
    </row>
    <row r="2200" spans="1:27" ht="17">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5662</v>
      </c>
    </row>
    <row r="2201" spans="1:27" ht="17">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7">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170" t="s">
        <v>47</v>
      </c>
      <c r="H2205" s="3231" t="str">
        <f>$V$2</f>
        <v>2019年12月31日</v>
      </c>
      <c r="I2205" s="3245"/>
      <c r="J2205" s="3232"/>
      <c r="K2205" s="3231" t="str">
        <f>$V$3</f>
        <v>2018年12月31日</v>
      </c>
      <c r="L2205" s="3245"/>
      <c r="M2205" s="3232"/>
      <c r="N2205" s="3278" t="s">
        <v>3444</v>
      </c>
      <c r="O2205" s="355" t="s">
        <v>5283</v>
      </c>
      <c r="S2205" s="364"/>
      <c r="Z2205" s="609" t="s">
        <v>925</v>
      </c>
      <c r="AA2205" s="609" t="s">
        <v>3451</v>
      </c>
    </row>
    <row r="2206" spans="1:27" ht="17">
      <c r="A2206" s="2714"/>
      <c r="B2206" s="371"/>
      <c r="C2206" s="371"/>
      <c r="D2206" s="371"/>
      <c r="E2206" s="586" t="s">
        <v>2749</v>
      </c>
      <c r="F2206" s="363"/>
      <c r="G2206" s="3171"/>
      <c r="H2206" s="2283" t="s">
        <v>2861</v>
      </c>
      <c r="I2206" s="2283" t="s">
        <v>2862</v>
      </c>
      <c r="J2206" s="2283" t="s">
        <v>2863</v>
      </c>
      <c r="K2206" s="2283" t="s">
        <v>2861</v>
      </c>
      <c r="L2206" s="2283" t="s">
        <v>2862</v>
      </c>
      <c r="M2206" s="2283" t="s">
        <v>2863</v>
      </c>
      <c r="N2206" s="3279"/>
      <c r="S2206" s="364"/>
      <c r="Z2206" s="609" t="s">
        <v>925</v>
      </c>
      <c r="AA2206" s="609" t="s">
        <v>3451</v>
      </c>
    </row>
    <row r="2207" spans="1:27" ht="17">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7">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7">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7">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7">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7">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7">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7">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26">
      <c r="A2215" s="2714"/>
      <c r="B2215" s="371">
        <v>109</v>
      </c>
      <c r="C2215" s="371" t="s">
        <v>2791</v>
      </c>
      <c r="D2215" s="2716">
        <f t="shared" si="222"/>
        <v>1</v>
      </c>
      <c r="E2215" s="2721">
        <v>-1</v>
      </c>
      <c r="F2215" s="294"/>
      <c r="G2215" s="2692" t="s">
        <v>6403</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6575</v>
      </c>
    </row>
    <row r="2216" spans="1:29" ht="1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6575</v>
      </c>
    </row>
    <row r="2217" spans="1:29" ht="17">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9">
      <c r="A2218" s="2714" t="s">
        <v>5920</v>
      </c>
      <c r="B2218" s="371">
        <v>2.1</v>
      </c>
      <c r="C2218" s="371"/>
      <c r="D2218" s="2716" t="str">
        <f>VLOOKUP($A2218,Sheet_NoteList,2,0)</f>
        <v>长期应收款按坏账计提方法分类披露（三阶段模型）</v>
      </c>
      <c r="E2218" s="2716" t="s">
        <v>6533</v>
      </c>
      <c r="F2218" s="293"/>
      <c r="G2218" s="372" t="str">
        <f>"("&amp;B2218&amp;")"&amp;D2218</f>
        <v>(2.1)长期应收款按坏账计提方法分类披露（三阶段模型）</v>
      </c>
      <c r="H2218" s="1517" t="str">
        <f>$A2218</f>
        <v>1531t</v>
      </c>
      <c r="I2218" s="343" t="s">
        <v>5951</v>
      </c>
      <c r="J2218" s="301" t="s">
        <v>5952</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5953</v>
      </c>
      <c r="H2219" s="1617" t="s">
        <v>6179</v>
      </c>
      <c r="I2219" s="371" t="s">
        <v>6218</v>
      </c>
      <c r="J2219" s="371" t="s">
        <v>6219</v>
      </c>
      <c r="K2219" s="391"/>
      <c r="L2219" s="349"/>
      <c r="M2219" s="301"/>
      <c r="N2219" s="391"/>
      <c r="O2219" s="349"/>
      <c r="P2219" s="301"/>
      <c r="S2219" s="364"/>
      <c r="Z2219" s="609" t="s">
        <v>925</v>
      </c>
      <c r="AA2219" s="609" t="s">
        <v>3451</v>
      </c>
    </row>
    <row r="2220" spans="1:29" ht="17.5" thickTop="1">
      <c r="A2220" s="2714"/>
      <c r="B2220" s="371"/>
      <c r="C2220" s="371"/>
      <c r="D2220" s="2716"/>
      <c r="E2220" s="586" t="s">
        <v>2749</v>
      </c>
      <c r="F2220" s="414"/>
      <c r="G2220" s="2289" t="s">
        <v>6030</v>
      </c>
      <c r="H2220" s="2232" t="s">
        <v>2861</v>
      </c>
      <c r="I2220" s="2232" t="s">
        <v>2862</v>
      </c>
      <c r="J2220" s="2293" t="s">
        <v>2863</v>
      </c>
      <c r="K2220" s="355" t="s">
        <v>5283</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7">
      <c r="A2221" s="2714"/>
      <c r="B2221" s="371">
        <v>101</v>
      </c>
      <c r="C2221" s="371"/>
      <c r="D2221" s="2716">
        <f t="shared" ref="D2221:D2225" si="226">IF(OR(G2221="*",G2221="",G2221=0),0,COUNTIF($G$2221:$G$2225,G2221))</f>
        <v>1</v>
      </c>
      <c r="E2221" s="2721">
        <v>1</v>
      </c>
      <c r="F2221" s="293"/>
      <c r="G2221" s="1474" t="s">
        <v>6031</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7">
      <c r="A2222" s="2714"/>
      <c r="B2222" s="371">
        <v>102</v>
      </c>
      <c r="C2222" s="371"/>
      <c r="D2222" s="2716">
        <f t="shared" si="226"/>
        <v>1</v>
      </c>
      <c r="E2222" s="2721">
        <v>1</v>
      </c>
      <c r="F2222" s="293"/>
      <c r="G2222" s="1474" t="s">
        <v>6032</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7">
      <c r="A2223" s="2714"/>
      <c r="B2223" s="371">
        <v>103</v>
      </c>
      <c r="C2223" s="371"/>
      <c r="D2223" s="2716">
        <f t="shared" si="226"/>
        <v>1</v>
      </c>
      <c r="E2223" s="2721">
        <v>1</v>
      </c>
      <c r="F2223" s="293"/>
      <c r="G2223" s="1474" t="s">
        <v>6033</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7">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7.5" thickBot="1">
      <c r="A2226" s="2714"/>
      <c r="B2226" s="371"/>
      <c r="C2226" s="371" t="s">
        <v>2755</v>
      </c>
      <c r="D2226" s="2716"/>
      <c r="F2226" s="293"/>
      <c r="G2226" s="376"/>
      <c r="H2226" s="2626" t="s">
        <v>3002</v>
      </c>
      <c r="I2226" s="2253" t="s">
        <v>3002</v>
      </c>
      <c r="J2226" s="527" t="s">
        <v>3002</v>
      </c>
      <c r="K2226" s="391"/>
      <c r="L2226" s="1539" t="s">
        <v>5496</v>
      </c>
      <c r="M2226" s="354"/>
      <c r="N2226" s="317"/>
      <c r="O2226" s="317"/>
      <c r="P2226" s="301"/>
      <c r="S2226" s="364"/>
      <c r="Z2226" s="609" t="s">
        <v>925</v>
      </c>
      <c r="AA2226" s="609" t="s">
        <v>3451</v>
      </c>
    </row>
    <row r="2227" spans="1:27" ht="17.5" thickTop="1">
      <c r="A2227" s="2714"/>
      <c r="B2227" s="371"/>
      <c r="C2227" s="371" t="s">
        <v>2565</v>
      </c>
      <c r="D2227" s="2716"/>
      <c r="F2227" s="293"/>
      <c r="G2227" s="1549" t="s">
        <v>5368</v>
      </c>
      <c r="H2227" s="1550" t="str">
        <f>G2202</f>
        <v>(1)长期应收款情况</v>
      </c>
      <c r="I2227" s="1552"/>
      <c r="J2227" s="1552"/>
      <c r="K2227" s="1553" t="s">
        <v>5369</v>
      </c>
      <c r="L2227" s="349"/>
      <c r="M2227" s="301"/>
      <c r="N2227" s="391"/>
      <c r="O2227" s="349"/>
      <c r="P2227" s="301"/>
      <c r="S2227" s="364"/>
      <c r="Z2227" s="609" t="s">
        <v>925</v>
      </c>
      <c r="AA2227" s="609" t="s">
        <v>3451</v>
      </c>
    </row>
    <row r="2228" spans="1:27" ht="17">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7">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5920</v>
      </c>
      <c r="L2229" s="349"/>
      <c r="M2229" s="301"/>
      <c r="N2229" s="391"/>
      <c r="O2229" s="349"/>
      <c r="P2229" s="301"/>
      <c r="S2229" s="364"/>
      <c r="Z2229" s="609" t="s">
        <v>925</v>
      </c>
      <c r="AA2229" s="609" t="s">
        <v>3451</v>
      </c>
    </row>
    <row r="2230" spans="1:27" ht="1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7">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7">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9">
      <c r="A2234" s="2714" t="s">
        <v>928</v>
      </c>
      <c r="B2234" s="371" t="s">
        <v>6558</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9">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5283</v>
      </c>
      <c r="N2236" s="434"/>
      <c r="O2236" s="434"/>
      <c r="P2236" s="435"/>
      <c r="Q2236" s="442"/>
      <c r="R2236" s="443"/>
      <c r="S2236" s="364"/>
      <c r="Z2236" s="609" t="s">
        <v>925</v>
      </c>
      <c r="AA2236" s="609" t="s">
        <v>3451</v>
      </c>
    </row>
    <row r="2237" spans="1:27" ht="17">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7">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7">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7">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7">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7">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7">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7">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6575</v>
      </c>
    </row>
    <row r="2246" spans="1:29" ht="17">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9">
      <c r="A2247" s="2714" t="s">
        <v>931</v>
      </c>
      <c r="B2247" s="371" t="s">
        <v>6559</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9">
      <c r="A2249" s="2714"/>
      <c r="B2249" s="371"/>
      <c r="C2249" s="371"/>
      <c r="D2249" s="2716"/>
      <c r="E2249" s="586" t="s">
        <v>2749</v>
      </c>
      <c r="F2249" s="414"/>
      <c r="G2249" s="2289" t="s">
        <v>6034</v>
      </c>
      <c r="H2249" s="2291" t="s">
        <v>2861</v>
      </c>
      <c r="I2249" s="2291" t="s">
        <v>3148</v>
      </c>
      <c r="J2249" s="2291" t="s">
        <v>2862</v>
      </c>
      <c r="K2249" s="2311" t="s">
        <v>2863</v>
      </c>
      <c r="L2249" s="2312" t="s">
        <v>3147</v>
      </c>
      <c r="M2249" s="355" t="s">
        <v>5283</v>
      </c>
      <c r="N2249" s="434"/>
      <c r="O2249" s="434"/>
      <c r="P2249" s="435"/>
      <c r="Q2249" s="442"/>
      <c r="R2249" s="443"/>
      <c r="S2249" s="364"/>
      <c r="Z2249" s="609" t="s">
        <v>925</v>
      </c>
      <c r="AA2249" s="609" t="s">
        <v>3451</v>
      </c>
    </row>
    <row r="2250" spans="1:29" ht="17">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7">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7">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7">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7">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7">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7">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7">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6575</v>
      </c>
    </row>
    <row r="2259" spans="1:29" ht="17">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9">
      <c r="A2260" s="2714" t="s">
        <v>934</v>
      </c>
      <c r="B2260" s="371" t="s">
        <v>6560</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9">
      <c r="A2262" s="2714"/>
      <c r="B2262" s="371"/>
      <c r="C2262" s="371"/>
      <c r="D2262" s="2716"/>
      <c r="E2262" s="586" t="s">
        <v>2749</v>
      </c>
      <c r="F2262" s="414"/>
      <c r="G2262" s="2289" t="s">
        <v>6010</v>
      </c>
      <c r="H2262" s="2291" t="s">
        <v>2861</v>
      </c>
      <c r="I2262" s="2291" t="s">
        <v>3148</v>
      </c>
      <c r="J2262" s="2291" t="s">
        <v>2862</v>
      </c>
      <c r="K2262" s="2311" t="s">
        <v>2863</v>
      </c>
      <c r="L2262" s="2312" t="s">
        <v>3147</v>
      </c>
      <c r="M2262" s="355" t="s">
        <v>5283</v>
      </c>
      <c r="N2262" s="434"/>
      <c r="O2262" s="434"/>
      <c r="P2262" s="435"/>
      <c r="Q2262" s="442"/>
      <c r="R2262" s="443"/>
      <c r="S2262" s="364"/>
      <c r="Z2262" s="609" t="s">
        <v>925</v>
      </c>
      <c r="AA2262" s="609" t="s">
        <v>3451</v>
      </c>
    </row>
    <row r="2263" spans="1:29" ht="17">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7">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7">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7">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7">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7">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7">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7">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6575</v>
      </c>
    </row>
    <row r="2272" spans="1:29" ht="17">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9">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145" t="s">
        <v>5135</v>
      </c>
      <c r="H2276" s="3177" t="str">
        <f>$W$3&amp;"账面余额"</f>
        <v>2018年12月31日账面余额</v>
      </c>
      <c r="I2276" s="3161"/>
      <c r="J2276" s="3177" t="str">
        <f>$W$3&amp;"坏账准备"</f>
        <v>2018年12月31日坏账准备</v>
      </c>
      <c r="K2276" s="3161"/>
      <c r="L2276" s="3305" t="str">
        <f>$W$3&amp;"账面价值"</f>
        <v>2018年12月31日账面价值</v>
      </c>
      <c r="M2276" s="355" t="s">
        <v>5283</v>
      </c>
      <c r="N2276" s="428"/>
      <c r="O2276" s="428"/>
      <c r="P2276" s="433"/>
      <c r="Q2276" s="442"/>
      <c r="R2276" s="443"/>
      <c r="S2276" s="364"/>
      <c r="Z2276" s="609" t="s">
        <v>925</v>
      </c>
      <c r="AA2276" s="609" t="s">
        <v>3451</v>
      </c>
    </row>
    <row r="2277" spans="1:29" ht="17">
      <c r="A2277" s="2714"/>
      <c r="B2277" s="371"/>
      <c r="C2277" s="371"/>
      <c r="D2277" s="2716"/>
      <c r="E2277" s="586" t="s">
        <v>2749</v>
      </c>
      <c r="F2277" s="414"/>
      <c r="G2277" s="3146"/>
      <c r="H2277" s="2294" t="s">
        <v>2887</v>
      </c>
      <c r="I2277" s="2294" t="s">
        <v>2888</v>
      </c>
      <c r="J2277" s="2294" t="s">
        <v>2887</v>
      </c>
      <c r="K2277" s="2239" t="s">
        <v>2889</v>
      </c>
      <c r="L2277" s="3306"/>
      <c r="M2277" s="435"/>
      <c r="N2277" s="434"/>
      <c r="O2277" s="434"/>
      <c r="P2277" s="435"/>
      <c r="Q2277" s="442"/>
      <c r="R2277" s="443"/>
      <c r="S2277" s="364"/>
      <c r="Z2277" s="609" t="s">
        <v>925</v>
      </c>
      <c r="AA2277" s="609" t="s">
        <v>3451</v>
      </c>
    </row>
    <row r="2278" spans="1:29" ht="26">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6575</v>
      </c>
    </row>
    <row r="2279" spans="1:29" ht="26">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6">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7">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7">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7">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7.5" thickTop="1">
      <c r="A2286" s="2714"/>
      <c r="B2286" s="371"/>
      <c r="C2286" s="371" t="s">
        <v>2565</v>
      </c>
      <c r="D2286" s="2716"/>
      <c r="F2286" s="293"/>
      <c r="G2286" s="1549" t="s">
        <v>5368</v>
      </c>
      <c r="H2286" s="1550" t="str">
        <f>G2202</f>
        <v>(1)长期应收款情况</v>
      </c>
      <c r="I2286" s="1551"/>
      <c r="J2286" s="1552"/>
      <c r="K2286" s="1551"/>
      <c r="L2286" s="1552"/>
      <c r="M2286" s="1553" t="s">
        <v>5369</v>
      </c>
      <c r="N2286" s="426"/>
      <c r="O2286" s="427"/>
      <c r="P2286" s="425"/>
      <c r="Q2286" s="442"/>
      <c r="R2286" s="442"/>
      <c r="S2286" s="364"/>
      <c r="Z2286" s="609" t="s">
        <v>925</v>
      </c>
      <c r="AA2286" s="609" t="s">
        <v>3451</v>
      </c>
    </row>
    <row r="2287" spans="1:29" ht="17">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7">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7">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7">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52">
      <c r="A2293" s="2714" t="s">
        <v>949</v>
      </c>
      <c r="B2293" s="371" t="s">
        <v>6561</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145" t="s">
        <v>6141</v>
      </c>
      <c r="H2296" s="3153" t="str">
        <f>$V$3</f>
        <v>2018年12月31日</v>
      </c>
      <c r="I2296" s="3154"/>
      <c r="J2296" s="3154"/>
      <c r="K2296" s="3154"/>
      <c r="L2296" s="355" t="s">
        <v>5283</v>
      </c>
      <c r="M2296" s="433"/>
      <c r="N2296" s="428"/>
      <c r="O2296" s="428"/>
      <c r="P2296" s="433"/>
      <c r="Q2296" s="442"/>
      <c r="R2296" s="443"/>
      <c r="S2296" s="364"/>
      <c r="Z2296" s="609" t="s">
        <v>925</v>
      </c>
      <c r="AA2296" s="609" t="s">
        <v>3451</v>
      </c>
    </row>
    <row r="2297" spans="1:27" ht="17">
      <c r="A2297" s="2714"/>
      <c r="B2297" s="371"/>
      <c r="C2297" s="371"/>
      <c r="D2297" s="2716"/>
      <c r="E2297" s="586" t="s">
        <v>2749</v>
      </c>
      <c r="F2297" s="414"/>
      <c r="G2297" s="3146"/>
      <c r="H2297" s="2559" t="s">
        <v>6140</v>
      </c>
      <c r="I2297" s="2294" t="s">
        <v>2862</v>
      </c>
      <c r="J2297" s="2294" t="s">
        <v>2889</v>
      </c>
      <c r="K2297" s="2280" t="s">
        <v>2899</v>
      </c>
      <c r="L2297" s="434"/>
      <c r="M2297" s="435"/>
      <c r="N2297" s="434"/>
      <c r="O2297" s="434"/>
      <c r="P2297" s="435"/>
      <c r="Q2297" s="442"/>
      <c r="R2297" s="443"/>
      <c r="S2297" s="364"/>
      <c r="Z2297" s="609" t="s">
        <v>925</v>
      </c>
      <c r="AA2297" s="609" t="s">
        <v>3451</v>
      </c>
    </row>
    <row r="2298" spans="1:27" ht="17">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7">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7">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7">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7">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7">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7">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7">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7.5" thickTop="1">
      <c r="A2308" s="2714"/>
      <c r="B2308" s="371"/>
      <c r="C2308" s="371" t="s">
        <v>2565</v>
      </c>
      <c r="D2308" s="2716"/>
      <c r="F2308" s="293"/>
      <c r="G2308" s="1549" t="s">
        <v>5368</v>
      </c>
      <c r="H2308" s="1550" t="str">
        <f>G2273</f>
        <v>(2.2)长期应收款按坏账计提方法分类披露（已发生损失模型）</v>
      </c>
      <c r="I2308" s="1552"/>
      <c r="J2308" s="1551"/>
      <c r="K2308" s="1551"/>
      <c r="L2308" s="1553" t="s">
        <v>5369</v>
      </c>
      <c r="M2308" s="425"/>
      <c r="N2308" s="426"/>
      <c r="O2308" s="427"/>
      <c r="P2308" s="425"/>
      <c r="Q2308" s="442"/>
      <c r="R2308" s="442"/>
      <c r="S2308" s="364"/>
      <c r="Z2308" s="609" t="s">
        <v>925</v>
      </c>
      <c r="AA2308" s="609" t="s">
        <v>3451</v>
      </c>
    </row>
    <row r="2309" spans="1:27" ht="26">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7">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7">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7">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9">
      <c r="A2315" s="2714" t="s">
        <v>939</v>
      </c>
      <c r="B2315" s="371" t="s">
        <v>6562</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147" t="s">
        <v>5949</v>
      </c>
      <c r="H2318" s="3155" t="str">
        <f>$V$3</f>
        <v>2018年12月31日</v>
      </c>
      <c r="I2318" s="3156"/>
      <c r="J2318" s="3156"/>
      <c r="K2318" s="355" t="s">
        <v>5950</v>
      </c>
      <c r="L2318" s="1604"/>
      <c r="M2318" s="1604"/>
      <c r="N2318" s="1604"/>
      <c r="O2318" s="1604"/>
      <c r="P2318" s="1604"/>
      <c r="Q2318" s="1604"/>
      <c r="R2318" s="1604"/>
      <c r="S2318" s="364"/>
      <c r="Z2318" s="609" t="s">
        <v>925</v>
      </c>
      <c r="AA2318" s="609" t="s">
        <v>3451</v>
      </c>
    </row>
    <row r="2319" spans="1:27" ht="17">
      <c r="A2319" s="2714"/>
      <c r="B2319" s="371"/>
      <c r="C2319" s="371"/>
      <c r="D2319" s="2716"/>
      <c r="E2319" s="2716" t="s">
        <v>2749</v>
      </c>
      <c r="F2319" s="293"/>
      <c r="G2319" s="3148"/>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7">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7">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7">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7">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7">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7">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7">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7">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7">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6">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145" t="s">
        <v>6010</v>
      </c>
      <c r="H2333" s="3151" t="str">
        <f>$V$3</f>
        <v>2018年12月31日</v>
      </c>
      <c r="I2333" s="3149" t="s">
        <v>6011</v>
      </c>
      <c r="J2333" s="3151" t="str">
        <f>$X$3</f>
        <v>2019年1月1日</v>
      </c>
      <c r="K2333" s="3179" t="s">
        <v>2919</v>
      </c>
      <c r="L2333" s="3179"/>
      <c r="M2333" s="3179"/>
      <c r="N2333" s="3262" t="str">
        <f>$V$2</f>
        <v>2019年12月31日</v>
      </c>
      <c r="O2333" s="355" t="s">
        <v>5283</v>
      </c>
      <c r="P2333" s="433"/>
      <c r="Q2333" s="442"/>
      <c r="R2333" s="443"/>
      <c r="S2333" s="364"/>
      <c r="Z2333" s="609" t="s">
        <v>925</v>
      </c>
      <c r="AA2333" s="609" t="s">
        <v>3451</v>
      </c>
    </row>
    <row r="2334" spans="1:27" ht="26">
      <c r="A2334" s="2714"/>
      <c r="B2334" s="371"/>
      <c r="C2334" s="371"/>
      <c r="D2334" s="2716"/>
      <c r="E2334" s="586" t="s">
        <v>2749</v>
      </c>
      <c r="F2334" s="414"/>
      <c r="G2334" s="3146"/>
      <c r="H2334" s="3152"/>
      <c r="I2334" s="3150"/>
      <c r="J2334" s="3152"/>
      <c r="K2334" s="2239" t="s">
        <v>6028</v>
      </c>
      <c r="L2334" s="2239" t="s">
        <v>6013</v>
      </c>
      <c r="M2334" s="2294" t="s">
        <v>6035</v>
      </c>
      <c r="N2334" s="3263"/>
      <c r="O2334" s="434"/>
      <c r="P2334" s="435"/>
      <c r="Q2334" s="442"/>
      <c r="R2334" s="443"/>
      <c r="S2334" s="364"/>
      <c r="Z2334" s="609" t="s">
        <v>925</v>
      </c>
      <c r="AA2334" s="609" t="s">
        <v>3451</v>
      </c>
    </row>
    <row r="2335" spans="1:27" ht="17">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7">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7">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7">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7">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7.5" thickTop="1">
      <c r="A2342" s="2714"/>
      <c r="B2342" s="371"/>
      <c r="C2342" s="371" t="s">
        <v>2565</v>
      </c>
      <c r="D2342" s="2716"/>
      <c r="F2342" s="293"/>
      <c r="G2342" s="1549" t="s">
        <v>5368</v>
      </c>
      <c r="H2342" s="1550" t="str">
        <f>G2202</f>
        <v>(1)长期应收款情况</v>
      </c>
      <c r="I2342" s="1551"/>
      <c r="J2342" s="1551"/>
      <c r="K2342" s="1551"/>
      <c r="L2342" s="1551"/>
      <c r="M2342" s="1551"/>
      <c r="N2342" s="1552"/>
      <c r="O2342" s="1553" t="s">
        <v>5369</v>
      </c>
      <c r="P2342" s="425"/>
      <c r="Q2342" s="442"/>
      <c r="R2342" s="442"/>
      <c r="S2342" s="364"/>
      <c r="Z2342" s="609" t="s">
        <v>925</v>
      </c>
      <c r="AA2342" s="609" t="s">
        <v>3451</v>
      </c>
    </row>
    <row r="2343" spans="1:27" ht="17">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7">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7">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7">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6">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61" t="s">
        <v>2862</v>
      </c>
      <c r="H2352" s="2291" t="s">
        <v>3348</v>
      </c>
      <c r="I2352" s="2291" t="s">
        <v>3349</v>
      </c>
      <c r="J2352" s="2291" t="s">
        <v>3350</v>
      </c>
      <c r="K2352" s="3303" t="s">
        <v>3351</v>
      </c>
      <c r="L2352" s="355" t="s">
        <v>5283</v>
      </c>
      <c r="M2352" s="433"/>
      <c r="N2352" s="428"/>
      <c r="O2352" s="428"/>
      <c r="P2352" s="433"/>
      <c r="Q2352" s="442"/>
      <c r="R2352" s="443"/>
      <c r="S2352" s="364"/>
      <c r="Z2352" s="609" t="s">
        <v>925</v>
      </c>
      <c r="AA2352" s="609" t="s">
        <v>3451</v>
      </c>
    </row>
    <row r="2353" spans="1:27" ht="39">
      <c r="A2353" s="2714"/>
      <c r="B2353" s="371"/>
      <c r="C2353" s="371"/>
      <c r="D2353" s="2716"/>
      <c r="E2353" s="2716" t="s">
        <v>2749</v>
      </c>
      <c r="F2353" s="293"/>
      <c r="G2353" s="3162"/>
      <c r="H2353" s="2294" t="s">
        <v>3352</v>
      </c>
      <c r="I2353" s="2294" t="s">
        <v>3353</v>
      </c>
      <c r="J2353" s="2294" t="s">
        <v>3354</v>
      </c>
      <c r="K2353" s="3304"/>
      <c r="L2353" s="434"/>
      <c r="M2353" s="435"/>
      <c r="N2353" s="434"/>
      <c r="O2353" s="434"/>
      <c r="P2353" s="435"/>
      <c r="Q2353" s="442"/>
      <c r="R2353" s="443"/>
      <c r="S2353" s="364"/>
      <c r="Z2353" s="609" t="s">
        <v>925</v>
      </c>
      <c r="AA2353" s="609" t="s">
        <v>3451</v>
      </c>
    </row>
    <row r="2354" spans="1:27" ht="17">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7">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6">
      <c r="A2356" s="2714"/>
      <c r="B2356" s="371">
        <v>103</v>
      </c>
      <c r="C2356" s="371"/>
      <c r="D2356" s="2716">
        <f t="shared" si="244"/>
        <v>1</v>
      </c>
      <c r="E2356" s="2721">
        <v>1</v>
      </c>
      <c r="F2356" s="293"/>
      <c r="G2356" s="578" t="s">
        <v>5203</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6">
      <c r="A2357" s="2714"/>
      <c r="B2357" s="371">
        <v>104</v>
      </c>
      <c r="C2357" s="371"/>
      <c r="D2357" s="2716">
        <f t="shared" si="244"/>
        <v>1</v>
      </c>
      <c r="E2357" s="2721">
        <v>1</v>
      </c>
      <c r="F2357" s="293"/>
      <c r="G2357" s="578" t="s">
        <v>5204</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6">
      <c r="A2358" s="2714"/>
      <c r="B2358" s="371">
        <v>105</v>
      </c>
      <c r="C2358" s="371"/>
      <c r="D2358" s="2716">
        <f t="shared" si="244"/>
        <v>1</v>
      </c>
      <c r="E2358" s="2721">
        <v>1</v>
      </c>
      <c r="F2358" s="293"/>
      <c r="G2358" s="578" t="s">
        <v>5205</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6">
      <c r="A2359" s="2714"/>
      <c r="B2359" s="371">
        <v>106</v>
      </c>
      <c r="C2359" s="371"/>
      <c r="D2359" s="2716">
        <f t="shared" si="244"/>
        <v>1</v>
      </c>
      <c r="E2359" s="2721">
        <v>1</v>
      </c>
      <c r="F2359" s="293"/>
      <c r="G2359" s="578" t="s">
        <v>5206</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7">
      <c r="A2360" s="2714"/>
      <c r="B2360" s="371">
        <v>107</v>
      </c>
      <c r="C2360" s="371"/>
      <c r="D2360" s="2716">
        <f t="shared" si="244"/>
        <v>1</v>
      </c>
      <c r="E2360" s="2721">
        <v>1</v>
      </c>
      <c r="F2360" s="293"/>
      <c r="G2360" s="1486" t="s">
        <v>5207</v>
      </c>
      <c r="H2360" s="309"/>
      <c r="I2360" s="422"/>
      <c r="J2360" s="309"/>
      <c r="K2360" s="361">
        <f t="shared" si="245"/>
        <v>0</v>
      </c>
      <c r="L2360" s="437"/>
      <c r="M2360" s="438"/>
      <c r="N2360" s="439"/>
      <c r="O2360" s="437"/>
      <c r="P2360" s="438"/>
      <c r="Q2360" s="442"/>
      <c r="R2360" s="443"/>
      <c r="S2360" s="364"/>
      <c r="Z2360" s="609" t="s">
        <v>925</v>
      </c>
      <c r="AA2360" s="609" t="s">
        <v>3451</v>
      </c>
    </row>
    <row r="2361" spans="1:27" ht="17">
      <c r="A2361" s="2714"/>
      <c r="B2361" s="371">
        <v>108</v>
      </c>
      <c r="C2361" s="371"/>
      <c r="D2361" s="2716">
        <f t="shared" si="244"/>
        <v>1</v>
      </c>
      <c r="E2361" s="2721">
        <v>-1</v>
      </c>
      <c r="F2361" s="293"/>
      <c r="G2361" s="1486" t="s">
        <v>5208</v>
      </c>
      <c r="H2361" s="309"/>
      <c r="I2361" s="422"/>
      <c r="J2361" s="309"/>
      <c r="K2361" s="361">
        <f t="shared" si="245"/>
        <v>0</v>
      </c>
      <c r="L2361" s="437"/>
      <c r="M2361" s="438"/>
      <c r="N2361" s="439"/>
      <c r="O2361" s="437"/>
      <c r="P2361" s="438"/>
      <c r="Q2361" s="442"/>
      <c r="R2361" s="443"/>
      <c r="S2361" s="364"/>
      <c r="Z2361" s="609" t="s">
        <v>925</v>
      </c>
      <c r="AA2361" s="609" t="s">
        <v>3451</v>
      </c>
    </row>
    <row r="2362" spans="1:27" ht="17">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7">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6">
      <c r="A2364" s="2714"/>
      <c r="B2364" s="371">
        <v>111</v>
      </c>
      <c r="C2364" s="371"/>
      <c r="D2364" s="2716">
        <f t="shared" si="244"/>
        <v>1</v>
      </c>
      <c r="E2364" s="2721">
        <v>1</v>
      </c>
      <c r="F2364" s="293"/>
      <c r="G2364" s="1486" t="s">
        <v>5209</v>
      </c>
      <c r="H2364" s="309"/>
      <c r="I2364" s="422"/>
      <c r="J2364" s="309"/>
      <c r="K2364" s="361">
        <f t="shared" si="245"/>
        <v>0</v>
      </c>
      <c r="L2364" s="437"/>
      <c r="M2364" s="438"/>
      <c r="N2364" s="439"/>
      <c r="O2364" s="437"/>
      <c r="P2364" s="438"/>
      <c r="Q2364" s="442"/>
      <c r="R2364" s="443"/>
      <c r="S2364" s="364"/>
      <c r="Z2364" s="609" t="s">
        <v>925</v>
      </c>
      <c r="AA2364" s="609" t="s">
        <v>3451</v>
      </c>
    </row>
    <row r="2365" spans="1:27" ht="17">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7">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6">
      <c r="A2368" s="2714" t="s">
        <v>973</v>
      </c>
      <c r="B2368" s="371">
        <v>4</v>
      </c>
      <c r="C2368" s="371"/>
      <c r="D2368" s="2716" t="str">
        <f>VLOOKUP($A2368,Sheet_NoteList,2,0)</f>
        <v>因金融资产转移而终止确认的长期应收款</v>
      </c>
      <c r="E2368" s="2716" t="s">
        <v>6533</v>
      </c>
      <c r="F2368" s="294"/>
      <c r="G2368" s="372" t="str">
        <f>"("&amp;B2368&amp;")"&amp;D2368</f>
        <v>(4)因金融资产转移而终止确认的长期应收款</v>
      </c>
      <c r="H2368" s="1517" t="str">
        <f>$A2368</f>
        <v>1531c</v>
      </c>
      <c r="I2368" s="343" t="s">
        <v>5975</v>
      </c>
      <c r="J2368" s="301" t="s">
        <v>5974</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39">
      <c r="A2370" s="2714"/>
      <c r="B2370" s="371"/>
      <c r="C2370" s="371"/>
      <c r="D2370" s="371"/>
      <c r="E2370" s="586" t="s">
        <v>2749</v>
      </c>
      <c r="F2370" s="363"/>
      <c r="G2370" s="2228" t="s">
        <v>47</v>
      </c>
      <c r="H2370" s="2282" t="s">
        <v>3068</v>
      </c>
      <c r="I2370" s="2282" t="s">
        <v>3064</v>
      </c>
      <c r="J2370" s="417" t="s">
        <v>3065</v>
      </c>
      <c r="K2370" s="355" t="s">
        <v>5283</v>
      </c>
      <c r="L2370" s="291"/>
      <c r="M2370" s="291"/>
      <c r="S2370" s="364"/>
      <c r="Z2370" s="609" t="s">
        <v>925</v>
      </c>
      <c r="AA2370" s="609" t="s">
        <v>3451</v>
      </c>
    </row>
    <row r="2371" spans="1:27" ht="17">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7">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7">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7">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7">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7">
      <c r="A2377" s="2714"/>
      <c r="B2377" s="371"/>
      <c r="C2377" s="371" t="s">
        <v>2755</v>
      </c>
      <c r="D2377" s="371"/>
      <c r="F2377" s="294"/>
      <c r="G2377" s="301"/>
      <c r="H2377" s="393"/>
      <c r="I2377" s="315"/>
      <c r="J2377" s="315"/>
      <c r="K2377" s="291"/>
      <c r="L2377" s="291"/>
      <c r="M2377" s="291"/>
      <c r="S2377" s="364"/>
      <c r="Z2377" s="609" t="s">
        <v>925</v>
      </c>
      <c r="AA2377" s="609" t="s">
        <v>3451</v>
      </c>
    </row>
    <row r="2378" spans="1:27" ht="26">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6">
      <c r="A2380" s="2714"/>
      <c r="B2380" s="371"/>
      <c r="C2380" s="371"/>
      <c r="D2380" s="2716"/>
      <c r="E2380" s="586" t="s">
        <v>2749</v>
      </c>
      <c r="F2380" s="414"/>
      <c r="G2380" s="2228" t="s">
        <v>5134</v>
      </c>
      <c r="H2380" s="2282" t="s">
        <v>3068</v>
      </c>
      <c r="I2380" s="2282" t="s">
        <v>3069</v>
      </c>
      <c r="J2380" s="417" t="s">
        <v>3070</v>
      </c>
      <c r="K2380" s="355" t="s">
        <v>5283</v>
      </c>
      <c r="L2380" s="434"/>
      <c r="M2380" s="435"/>
      <c r="N2380" s="434"/>
      <c r="O2380" s="434"/>
      <c r="P2380" s="435"/>
      <c r="Q2380" s="442"/>
      <c r="R2380" s="443"/>
      <c r="S2380" s="364"/>
      <c r="Z2380" s="609" t="s">
        <v>925</v>
      </c>
      <c r="AA2380" s="609" t="s">
        <v>3451</v>
      </c>
    </row>
    <row r="2381" spans="1:27" ht="17">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7">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7">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7">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7">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7">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7">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7">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7">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7">
      <c r="A2391" s="2714" t="s">
        <v>969</v>
      </c>
      <c r="B2391" s="371">
        <v>6</v>
      </c>
      <c r="C2391" s="371"/>
      <c r="D2391" s="2716" t="str">
        <f>VLOOKUP($A2391,Sheet_NoteList,2,0)</f>
        <v>长期应收款逾期情况分析</v>
      </c>
      <c r="E2391" s="2716" t="s">
        <v>6533</v>
      </c>
      <c r="F2391" s="294"/>
      <c r="G2391" s="307" t="str">
        <f>"("&amp;B2391&amp;")"&amp;D2391</f>
        <v>(6)长期应收款逾期情况分析</v>
      </c>
      <c r="H2391" s="1517" t="str">
        <f>$A2391</f>
        <v>1531b</v>
      </c>
      <c r="I2391" s="343" t="s">
        <v>5966</v>
      </c>
      <c r="J2391" s="301" t="s">
        <v>5964</v>
      </c>
      <c r="K2391" s="2210">
        <f>H2399</f>
        <v>0</v>
      </c>
      <c r="L2391" s="345" t="str">
        <f>IF($I2391="适用",IF(ROUND(K$2201-K2391,2)=0,"F/S",ROUND(K$2201-K2391,2)),"#N/A")</f>
        <v>F/S</v>
      </c>
      <c r="M2391" s="301" t="s">
        <v>5965</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7">
      <c r="A2393" s="2714"/>
      <c r="B2393" s="371"/>
      <c r="C2393" s="371"/>
      <c r="D2393" s="371"/>
      <c r="E2393" s="586" t="s">
        <v>2749</v>
      </c>
      <c r="F2393" s="363"/>
      <c r="G2393" s="2288" t="s">
        <v>3469</v>
      </c>
      <c r="H2393" s="2290" t="s">
        <v>2775</v>
      </c>
      <c r="I2393" s="2281" t="s">
        <v>2776</v>
      </c>
      <c r="J2393" s="355" t="s">
        <v>6177</v>
      </c>
      <c r="K2393" s="291"/>
      <c r="L2393" s="291"/>
      <c r="M2393" s="291"/>
      <c r="S2393" s="364"/>
      <c r="Z2393" s="609" t="s">
        <v>925</v>
      </c>
      <c r="AA2393" s="609" t="s">
        <v>3451</v>
      </c>
    </row>
    <row r="2394" spans="1:27" ht="17">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7">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7">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7">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7">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7">
      <c r="A2400" s="2714"/>
      <c r="B2400" s="371"/>
      <c r="C2400" s="371" t="s">
        <v>2755</v>
      </c>
      <c r="D2400" s="371"/>
      <c r="F2400" s="294"/>
      <c r="G2400" s="301"/>
      <c r="H2400" s="315"/>
      <c r="I2400" s="315"/>
      <c r="J2400" s="291"/>
      <c r="K2400" s="291"/>
      <c r="L2400" s="291"/>
      <c r="M2400" s="291"/>
      <c r="S2400" s="364"/>
      <c r="Z2400" s="609" t="s">
        <v>925</v>
      </c>
      <c r="AA2400" s="609" t="s">
        <v>3451</v>
      </c>
    </row>
    <row r="2401" spans="1:27" ht="17">
      <c r="A2401" s="2714" t="s">
        <v>977</v>
      </c>
      <c r="B2401" s="371">
        <v>7</v>
      </c>
      <c r="C2401" s="371"/>
      <c r="D2401" s="2716" t="str">
        <f>VLOOKUP($A2401,Sheet_NoteList,2,0)</f>
        <v>外币长期应收款</v>
      </c>
      <c r="E2401" s="2716" t="s">
        <v>6533</v>
      </c>
      <c r="F2401" s="294"/>
      <c r="G2401" s="372" t="str">
        <f>"("&amp;B2401&amp;")"&amp;D2401</f>
        <v>(7)外币长期应收款</v>
      </c>
      <c r="H2401" s="1517" t="str">
        <f>$A2401</f>
        <v>1531f</v>
      </c>
      <c r="I2401" s="343" t="s">
        <v>5583</v>
      </c>
      <c r="J2401" s="301" t="s">
        <v>5584</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6">
      <c r="A2403" s="2714"/>
      <c r="B2403" s="371"/>
      <c r="C2403" s="371"/>
      <c r="D2403" s="371"/>
      <c r="E2403" s="2716" t="s">
        <v>2749</v>
      </c>
      <c r="F2403" s="294"/>
      <c r="G2403" s="1629" t="s">
        <v>1371</v>
      </c>
      <c r="H2403" s="1627" t="s">
        <v>3076</v>
      </c>
      <c r="I2403" s="1627" t="s">
        <v>3077</v>
      </c>
      <c r="J2403" s="1628" t="s">
        <v>3078</v>
      </c>
      <c r="K2403" s="355" t="s">
        <v>5605</v>
      </c>
      <c r="L2403" s="291"/>
      <c r="M2403" s="291"/>
      <c r="N2403" s="291"/>
      <c r="O2403" s="291"/>
      <c r="P2403" s="291"/>
      <c r="Q2403" s="367"/>
      <c r="R2403" s="367"/>
      <c r="S2403" s="364"/>
      <c r="Z2403" s="609" t="s">
        <v>925</v>
      </c>
      <c r="AA2403" s="609" t="s">
        <v>3451</v>
      </c>
    </row>
    <row r="2404" spans="1:27" ht="17">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5365</v>
      </c>
      <c r="L2404" s="1522" t="s">
        <v>5366</v>
      </c>
      <c r="M2404" s="291"/>
      <c r="N2404" s="291"/>
      <c r="O2404" s="291"/>
      <c r="P2404" s="291"/>
      <c r="Q2404" s="367"/>
      <c r="R2404" s="367"/>
      <c r="S2404" s="364"/>
      <c r="Z2404" s="609" t="s">
        <v>925</v>
      </c>
      <c r="AA2404" s="609" t="s">
        <v>3451</v>
      </c>
    </row>
    <row r="2405" spans="1:27" ht="17">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7">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7">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7">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7">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7">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5663</v>
      </c>
    </row>
    <row r="2412" spans="1:27" ht="17">
      <c r="A2412" s="2714" t="s">
        <v>5622</v>
      </c>
      <c r="B2412" s="371">
        <v>1</v>
      </c>
      <c r="C2412" s="371"/>
      <c r="D2412" s="2716" t="str">
        <f>VLOOKUP($A2412,Sheet_NoteList,2,0)</f>
        <v>长期股权投资情况</v>
      </c>
      <c r="E2412" s="2716" t="s">
        <v>6532</v>
      </c>
      <c r="F2412" s="293"/>
      <c r="G2412" s="372" t="str">
        <f>"("&amp;B2412&amp;")"&amp;D2412</f>
        <v>(1)长期股权投资情况</v>
      </c>
      <c r="H2412" s="1517" t="str">
        <f>$A2412</f>
        <v>1511c</v>
      </c>
      <c r="I2412" s="343" t="s">
        <v>5864</v>
      </c>
      <c r="J2412" s="301" t="s">
        <v>5865</v>
      </c>
      <c r="K2412" s="2210">
        <f>H2422</f>
        <v>0</v>
      </c>
      <c r="L2412" s="349" t="str">
        <f>IF($I2412="适用",IF(ROUND(K$2411-K2412,2)=0,"F/S",ROUND(K$2411-K2412,2)),"#N/A")</f>
        <v>F/S</v>
      </c>
      <c r="M2412" s="301" t="s">
        <v>5866</v>
      </c>
      <c r="N2412" s="2210">
        <f>I2422</f>
        <v>0</v>
      </c>
      <c r="O2412" s="349" t="str">
        <f>IF($I2412="适用",IF(ROUND(N$2411-N2412,2)=0,"F/S",ROUND(N$2411-N2412,2)),"#N/A")</f>
        <v>F/S</v>
      </c>
      <c r="P2412" s="301"/>
      <c r="S2412" s="364"/>
      <c r="Z2412" s="609" t="s">
        <v>983</v>
      </c>
      <c r="AA2412" s="609" t="s">
        <v>5663</v>
      </c>
    </row>
    <row r="2413" spans="1:27" ht="0.75" customHeight="1">
      <c r="A2413" s="2714"/>
      <c r="B2413" s="371"/>
      <c r="C2413" s="371"/>
      <c r="D2413" s="2716"/>
      <c r="F2413" s="371"/>
      <c r="G2413" s="405" t="s">
        <v>5867</v>
      </c>
      <c r="H2413" s="371" t="s">
        <v>2882</v>
      </c>
      <c r="I2413" s="371" t="s">
        <v>3365</v>
      </c>
      <c r="J2413" s="371" t="s">
        <v>3208</v>
      </c>
      <c r="K2413" s="371" t="s">
        <v>3209</v>
      </c>
      <c r="L2413" s="371" t="s">
        <v>3366</v>
      </c>
      <c r="M2413" s="371" t="s">
        <v>3211</v>
      </c>
      <c r="N2413" s="391"/>
      <c r="O2413" s="349"/>
      <c r="P2413" s="301"/>
      <c r="S2413" s="364"/>
      <c r="Z2413" s="609" t="s">
        <v>983</v>
      </c>
      <c r="AA2413" s="609" t="s">
        <v>5663</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5663</v>
      </c>
    </row>
    <row r="2415" spans="1:27" ht="18" customHeight="1">
      <c r="A2415" s="2714"/>
      <c r="B2415" s="371"/>
      <c r="C2415" s="371"/>
      <c r="D2415" s="2716"/>
      <c r="E2415" s="2716" t="s">
        <v>2749</v>
      </c>
      <c r="F2415" s="293"/>
      <c r="G2415" s="3166" t="s">
        <v>47</v>
      </c>
      <c r="H2415" s="3163" t="str">
        <f>$V$2</f>
        <v>2019年12月31日</v>
      </c>
      <c r="I2415" s="3164"/>
      <c r="J2415" s="3165"/>
      <c r="K2415" s="3163" t="str">
        <f>$V$3</f>
        <v>2018年12月31日</v>
      </c>
      <c r="L2415" s="3164"/>
      <c r="M2415" s="3164"/>
      <c r="N2415" s="355" t="s">
        <v>6177</v>
      </c>
      <c r="O2415" s="349"/>
      <c r="P2415" s="301"/>
      <c r="S2415" s="364"/>
      <c r="Z2415" s="609" t="s">
        <v>983</v>
      </c>
      <c r="AA2415" s="609" t="s">
        <v>5663</v>
      </c>
    </row>
    <row r="2416" spans="1:27" ht="17">
      <c r="A2416" s="2714"/>
      <c r="B2416" s="371"/>
      <c r="C2416" s="371"/>
      <c r="D2416" s="2716"/>
      <c r="E2416" s="2716" t="s">
        <v>2749</v>
      </c>
      <c r="F2416" s="293"/>
      <c r="G2416" s="3167"/>
      <c r="H2416" s="2189" t="s">
        <v>2861</v>
      </c>
      <c r="I2416" s="2189" t="s">
        <v>3097</v>
      </c>
      <c r="J2416" s="2189" t="s">
        <v>2863</v>
      </c>
      <c r="K2416" s="2189" t="s">
        <v>2861</v>
      </c>
      <c r="L2416" s="2189" t="s">
        <v>3097</v>
      </c>
      <c r="M2416" s="1524" t="s">
        <v>2863</v>
      </c>
      <c r="N2416" s="391"/>
      <c r="O2416" s="349"/>
      <c r="P2416" s="301"/>
      <c r="S2416" s="364"/>
      <c r="Z2416" s="609" t="s">
        <v>983</v>
      </c>
      <c r="AA2416" s="609" t="s">
        <v>5663</v>
      </c>
    </row>
    <row r="2417" spans="1:29" ht="17">
      <c r="A2417" s="2714"/>
      <c r="B2417" s="371">
        <v>101</v>
      </c>
      <c r="C2417" s="371"/>
      <c r="D2417" s="2716">
        <f t="shared" ref="D2417:D2422" si="250">IF(OR(G2417="*",G2417="",G2417=0),0,COUNTIF($G$2417:$G$2422,G2417))</f>
        <v>1</v>
      </c>
      <c r="E2417" s="2721">
        <v>1</v>
      </c>
      <c r="F2417" s="293"/>
      <c r="G2417" s="1474" t="s">
        <v>5868</v>
      </c>
      <c r="H2417" s="1577"/>
      <c r="I2417" s="422"/>
      <c r="J2417" s="1476">
        <f>H2417-I2417</f>
        <v>0</v>
      </c>
      <c r="K2417" s="320"/>
      <c r="L2417" s="309"/>
      <c r="M2417" s="1477">
        <f>K2417-L2417</f>
        <v>0</v>
      </c>
      <c r="N2417" s="391"/>
      <c r="O2417" s="349"/>
      <c r="P2417" s="301"/>
      <c r="S2417" s="364"/>
      <c r="Z2417" s="609" t="s">
        <v>983</v>
      </c>
      <c r="AA2417" s="609" t="s">
        <v>5663</v>
      </c>
    </row>
    <row r="2418" spans="1:29" ht="17">
      <c r="A2418" s="2714"/>
      <c r="B2418" s="371">
        <v>102</v>
      </c>
      <c r="C2418" s="371" t="s">
        <v>2791</v>
      </c>
      <c r="D2418" s="2716">
        <f t="shared" si="250"/>
        <v>1</v>
      </c>
      <c r="E2418" s="2721">
        <v>1</v>
      </c>
      <c r="F2418" s="293"/>
      <c r="G2418" s="2631" t="s">
        <v>6358</v>
      </c>
      <c r="H2418" s="1577"/>
      <c r="I2418" s="422"/>
      <c r="J2418" s="1476">
        <f>H2418-I2418</f>
        <v>0</v>
      </c>
      <c r="K2418" s="320"/>
      <c r="L2418" s="309"/>
      <c r="M2418" s="1477">
        <f>K2418-L2418</f>
        <v>0</v>
      </c>
      <c r="N2418" s="391"/>
      <c r="O2418" s="349"/>
      <c r="P2418" s="301"/>
      <c r="S2418" s="364"/>
      <c r="Z2418" s="609" t="s">
        <v>983</v>
      </c>
      <c r="AA2418" s="609" t="s">
        <v>5663</v>
      </c>
    </row>
    <row r="2419" spans="1:29" ht="17">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5663</v>
      </c>
    </row>
    <row r="2420" spans="1:29" ht="17">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5663</v>
      </c>
    </row>
    <row r="2421" spans="1:29" ht="17">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5663</v>
      </c>
    </row>
    <row r="2422" spans="1:29" ht="1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5663</v>
      </c>
      <c r="AC2422" s="369" t="s">
        <v>6575</v>
      </c>
    </row>
    <row r="2423" spans="1:29" ht="1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5663</v>
      </c>
    </row>
    <row r="2424" spans="1:29" ht="17.5" thickTop="1">
      <c r="A2424" s="2714"/>
      <c r="B2424" s="371"/>
      <c r="C2424" s="371" t="s">
        <v>2565</v>
      </c>
      <c r="D2424" s="2716"/>
      <c r="F2424" s="293"/>
      <c r="G2424" s="1549" t="s">
        <v>5368</v>
      </c>
      <c r="H2424" s="1550" t="str">
        <f>G2463</f>
        <v>(3)长期股权投资——对联营、合营企业投资明细</v>
      </c>
      <c r="I2424" s="1552"/>
      <c r="J2424" s="1552"/>
      <c r="K2424" s="1551"/>
      <c r="L2424" s="1551"/>
      <c r="M2424" s="1552"/>
      <c r="N2424" s="1553" t="s">
        <v>5369</v>
      </c>
      <c r="O2424" s="349"/>
      <c r="P2424" s="301"/>
      <c r="S2424" s="364"/>
      <c r="Z2424" s="609" t="s">
        <v>983</v>
      </c>
      <c r="AA2424" s="609" t="s">
        <v>5663</v>
      </c>
    </row>
    <row r="2425" spans="1:29" ht="17">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5663</v>
      </c>
    </row>
    <row r="2426" spans="1:29" ht="26">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5622</v>
      </c>
      <c r="O2426" s="349"/>
      <c r="P2426" s="301"/>
      <c r="S2426" s="364"/>
      <c r="Z2426" s="609" t="s">
        <v>983</v>
      </c>
      <c r="AA2426" s="609" t="s">
        <v>5663</v>
      </c>
    </row>
    <row r="2427" spans="1:29" ht="1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5663</v>
      </c>
    </row>
    <row r="2428" spans="1:29" ht="1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5663</v>
      </c>
    </row>
    <row r="2429" spans="1:29" ht="17">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5663</v>
      </c>
    </row>
    <row r="2430" spans="1:29" ht="17">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5663</v>
      </c>
    </row>
    <row r="2431" spans="1:29" ht="26">
      <c r="A2431" s="2714" t="s">
        <v>5623</v>
      </c>
      <c r="B2431" s="371">
        <v>2</v>
      </c>
      <c r="C2431" s="371"/>
      <c r="D2431" s="2716" t="str">
        <f>VLOOKUP($A2431,Sheet_NoteList,2,0)</f>
        <v>长期股权投资——对子公司投资明细</v>
      </c>
      <c r="E2431" s="2716" t="s">
        <v>6535</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5663</v>
      </c>
    </row>
    <row r="2432" spans="1:29" ht="0.75" customHeight="1" thickBot="1">
      <c r="A2432" s="2714"/>
      <c r="B2432" s="371"/>
      <c r="C2432" s="371"/>
      <c r="D2432" s="2716"/>
      <c r="F2432" s="371"/>
      <c r="G2432" s="405" t="s">
        <v>5869</v>
      </c>
      <c r="H2432" s="1617" t="s">
        <v>6332</v>
      </c>
      <c r="I2432" s="371" t="s">
        <v>6342</v>
      </c>
      <c r="J2432" s="371" t="s">
        <v>6343</v>
      </c>
      <c r="K2432" s="547" t="s">
        <v>6335</v>
      </c>
      <c r="L2432" s="547" t="s">
        <v>6344</v>
      </c>
      <c r="M2432" s="371" t="s">
        <v>6345</v>
      </c>
      <c r="N2432" s="391"/>
      <c r="O2432" s="349"/>
      <c r="P2432" s="301"/>
      <c r="S2432" s="364"/>
      <c r="Z2432" s="609" t="s">
        <v>983</v>
      </c>
      <c r="AA2432" s="609" t="s">
        <v>5663</v>
      </c>
    </row>
    <row r="2433" spans="1:27" ht="39">
      <c r="A2433" s="2714"/>
      <c r="B2433" s="371"/>
      <c r="C2433" s="371"/>
      <c r="D2433" s="2716"/>
      <c r="E2433" s="2716" t="s">
        <v>2749</v>
      </c>
      <c r="F2433" s="293"/>
      <c r="G2433" s="1635" t="s">
        <v>3376</v>
      </c>
      <c r="H2433" s="2191" t="str">
        <f>$V$3</f>
        <v>2018年12月31日</v>
      </c>
      <c r="I2433" s="2191" t="s">
        <v>5872</v>
      </c>
      <c r="J2433" s="2191" t="s">
        <v>5873</v>
      </c>
      <c r="K2433" s="2191" t="str">
        <f>$V$2</f>
        <v>2019年12月31日</v>
      </c>
      <c r="L2433" s="2191" t="s">
        <v>5870</v>
      </c>
      <c r="M2433" s="2192" t="s">
        <v>5871</v>
      </c>
      <c r="N2433" s="355" t="s">
        <v>6177</v>
      </c>
      <c r="O2433" s="349"/>
      <c r="P2433" s="301"/>
      <c r="S2433" s="364"/>
      <c r="Z2433" s="609" t="s">
        <v>983</v>
      </c>
      <c r="AA2433" s="609" t="s">
        <v>5663</v>
      </c>
    </row>
    <row r="2434" spans="1:27" ht="17">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5663</v>
      </c>
    </row>
    <row r="2435" spans="1:27" ht="17">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5663</v>
      </c>
    </row>
    <row r="2436" spans="1:27" ht="17">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5663</v>
      </c>
    </row>
    <row r="2437" spans="1:27" ht="17">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5663</v>
      </c>
    </row>
    <row r="2438" spans="1:27" ht="17">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5663</v>
      </c>
    </row>
    <row r="2439" spans="1:27" ht="17">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5663</v>
      </c>
    </row>
    <row r="2440" spans="1:27" ht="17">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5663</v>
      </c>
    </row>
    <row r="2441" spans="1:27" ht="17">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5663</v>
      </c>
    </row>
    <row r="2442" spans="1:27" ht="17">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5663</v>
      </c>
    </row>
    <row r="2443" spans="1:27" ht="17">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5663</v>
      </c>
    </row>
    <row r="2444" spans="1:27" ht="17">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5663</v>
      </c>
    </row>
    <row r="2445" spans="1:27" ht="17">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5663</v>
      </c>
    </row>
    <row r="2446" spans="1:27" ht="17">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5663</v>
      </c>
    </row>
    <row r="2447" spans="1:27" ht="17">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5663</v>
      </c>
    </row>
    <row r="2448" spans="1:27" ht="17">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5663</v>
      </c>
    </row>
    <row r="2449" spans="1:34" ht="17">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5663</v>
      </c>
    </row>
    <row r="2450" spans="1:34" ht="17">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5663</v>
      </c>
    </row>
    <row r="2451" spans="1:34" ht="17">
      <c r="A2451" s="2714"/>
      <c r="B2451" s="371">
        <v>118</v>
      </c>
      <c r="C2451" s="371" t="s">
        <v>6534</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5663</v>
      </c>
    </row>
    <row r="2452" spans="1:34" ht="17">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5663</v>
      </c>
    </row>
    <row r="2453" spans="1:34" ht="17">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5663</v>
      </c>
    </row>
    <row r="2454" spans="1:34" ht="1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5663</v>
      </c>
    </row>
    <row r="2455" spans="1:34" ht="1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5663</v>
      </c>
    </row>
    <row r="2456" spans="1:34" ht="17.5" thickTop="1">
      <c r="A2456" s="2714"/>
      <c r="B2456" s="371"/>
      <c r="C2456" s="371" t="s">
        <v>2565</v>
      </c>
      <c r="D2456" s="2716"/>
      <c r="F2456" s="293"/>
      <c r="G2456" s="1549" t="s">
        <v>5368</v>
      </c>
      <c r="H2456" s="1550" t="str">
        <f>G2412</f>
        <v>(1)长期股权投资情况</v>
      </c>
      <c r="I2456" s="1551"/>
      <c r="J2456" s="1551"/>
      <c r="K2456" s="1552"/>
      <c r="L2456" s="1551"/>
      <c r="M2456" s="1552"/>
      <c r="N2456" s="1553" t="s">
        <v>5369</v>
      </c>
      <c r="O2456" s="349"/>
      <c r="P2456" s="301"/>
      <c r="S2456" s="364"/>
      <c r="Z2456" s="609" t="s">
        <v>983</v>
      </c>
      <c r="AA2456" s="609" t="s">
        <v>5663</v>
      </c>
    </row>
    <row r="2457" spans="1:34" ht="17">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5663</v>
      </c>
    </row>
    <row r="2458" spans="1:34" ht="17">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5623</v>
      </c>
      <c r="O2458" s="349"/>
      <c r="P2458" s="301"/>
      <c r="S2458" s="364"/>
      <c r="Z2458" s="609" t="s">
        <v>983</v>
      </c>
      <c r="AA2458" s="609" t="s">
        <v>5663</v>
      </c>
    </row>
    <row r="2459" spans="1:34" ht="1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5663</v>
      </c>
    </row>
    <row r="2460" spans="1:34" ht="1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5663</v>
      </c>
    </row>
    <row r="2461" spans="1:34" ht="17">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5663</v>
      </c>
    </row>
    <row r="2462" spans="1:34" ht="17">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5663</v>
      </c>
    </row>
    <row r="2463" spans="1:34" ht="26">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5663</v>
      </c>
    </row>
    <row r="2464" spans="1:34" s="289" customFormat="1" ht="0.75" customHeight="1">
      <c r="A2464" s="2714"/>
      <c r="B2464" s="371"/>
      <c r="C2464" s="371"/>
      <c r="D2464" s="371"/>
      <c r="E2464" s="586"/>
      <c r="F2464" s="586"/>
      <c r="G2464" s="586" t="s">
        <v>3498</v>
      </c>
      <c r="H2464" s="371" t="s">
        <v>6220</v>
      </c>
      <c r="I2464" s="371" t="s">
        <v>6221</v>
      </c>
      <c r="J2464" s="371" t="s">
        <v>6222</v>
      </c>
      <c r="K2464" s="371" t="s">
        <v>6223</v>
      </c>
      <c r="L2464" s="371" t="s">
        <v>6224</v>
      </c>
      <c r="M2464" s="371" t="s">
        <v>6225</v>
      </c>
      <c r="N2464" s="371" t="s">
        <v>6226</v>
      </c>
      <c r="O2464" s="371" t="s">
        <v>6227</v>
      </c>
      <c r="P2464" s="371" t="s">
        <v>6228</v>
      </c>
      <c r="Q2464" s="371" t="s">
        <v>6229</v>
      </c>
      <c r="R2464" s="371" t="s">
        <v>6230</v>
      </c>
      <c r="S2464" s="564"/>
      <c r="T2464" s="292"/>
      <c r="U2464" s="292"/>
      <c r="V2464" s="292"/>
      <c r="W2464" s="292"/>
      <c r="X2464" s="292"/>
      <c r="Y2464" s="292"/>
      <c r="Z2464" s="609" t="s">
        <v>983</v>
      </c>
      <c r="AA2464" s="609" t="s">
        <v>5663</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5663</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170" t="s">
        <v>3376</v>
      </c>
      <c r="H2466" s="3246" t="str">
        <f>$V$3</f>
        <v>2018年12月31日</v>
      </c>
      <c r="I2466" s="3202" t="s">
        <v>3510</v>
      </c>
      <c r="J2466" s="3202"/>
      <c r="K2466" s="3202"/>
      <c r="L2466" s="3202"/>
      <c r="M2466" s="3202"/>
      <c r="N2466" s="3202"/>
      <c r="O2466" s="3202"/>
      <c r="P2466" s="3202"/>
      <c r="Q2466" s="3246" t="str">
        <f>$V$2</f>
        <v>2019年12月31日</v>
      </c>
      <c r="R2466" s="3278" t="s">
        <v>3511</v>
      </c>
      <c r="S2466" s="355" t="s">
        <v>5284</v>
      </c>
      <c r="T2466" s="292"/>
      <c r="U2466" s="292"/>
      <c r="V2466" s="292"/>
      <c r="W2466" s="292"/>
      <c r="X2466" s="292"/>
      <c r="Y2466" s="292"/>
      <c r="Z2466" s="609" t="s">
        <v>983</v>
      </c>
      <c r="AA2466" s="609" t="s">
        <v>5663</v>
      </c>
      <c r="AB2466" s="369"/>
      <c r="AC2466" s="369"/>
      <c r="AD2466" s="369"/>
      <c r="AE2466" s="369"/>
      <c r="AF2466" s="292"/>
      <c r="AG2466" s="292"/>
      <c r="AH2466" s="292"/>
    </row>
    <row r="2467" spans="1:34" ht="39">
      <c r="A2467" s="2714"/>
      <c r="B2467" s="371"/>
      <c r="C2467" s="371"/>
      <c r="D2467" s="371"/>
      <c r="E2467" s="586" t="s">
        <v>2749</v>
      </c>
      <c r="F2467" s="363"/>
      <c r="G2467" s="3171"/>
      <c r="H2467" s="3247"/>
      <c r="I2467" s="2283" t="s">
        <v>3512</v>
      </c>
      <c r="J2467" s="2283" t="s">
        <v>3513</v>
      </c>
      <c r="K2467" s="2283" t="s">
        <v>3514</v>
      </c>
      <c r="L2467" s="2283" t="s">
        <v>3515</v>
      </c>
      <c r="M2467" s="2283" t="s">
        <v>3516</v>
      </c>
      <c r="N2467" s="2283" t="s">
        <v>3517</v>
      </c>
      <c r="O2467" s="2283" t="s">
        <v>3518</v>
      </c>
      <c r="P2467" s="2283" t="s">
        <v>3519</v>
      </c>
      <c r="Q2467" s="3247"/>
      <c r="R2467" s="3279"/>
      <c r="S2467" s="367"/>
      <c r="Z2467" s="609" t="s">
        <v>983</v>
      </c>
      <c r="AA2467" s="609" t="s">
        <v>5663</v>
      </c>
    </row>
    <row r="2468" spans="1:34" ht="17">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5663</v>
      </c>
    </row>
    <row r="2469" spans="1:34" ht="17">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5663</v>
      </c>
    </row>
    <row r="2470" spans="1:34" ht="17">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5663</v>
      </c>
    </row>
    <row r="2471" spans="1:34" ht="17">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5663</v>
      </c>
    </row>
    <row r="2472" spans="1:34" ht="17">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5663</v>
      </c>
    </row>
    <row r="2473" spans="1:34" ht="17">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5663</v>
      </c>
    </row>
    <row r="2474" spans="1:34" ht="17">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5663</v>
      </c>
    </row>
    <row r="2475" spans="1:34" ht="17">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5663</v>
      </c>
    </row>
    <row r="2476" spans="1:34" ht="17">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5663</v>
      </c>
    </row>
    <row r="2477" spans="1:34" ht="17">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5663</v>
      </c>
    </row>
    <row r="2478" spans="1:34" ht="17">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5663</v>
      </c>
    </row>
    <row r="2479" spans="1:34" ht="17">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5663</v>
      </c>
    </row>
    <row r="2480" spans="1:34" ht="17">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5663</v>
      </c>
    </row>
    <row r="2481" spans="1:29" ht="17">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5663</v>
      </c>
    </row>
    <row r="2482" spans="1:29" ht="17">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5663</v>
      </c>
    </row>
    <row r="2483" spans="1:29" ht="17">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5663</v>
      </c>
    </row>
    <row r="2484" spans="1:29" ht="17">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5663</v>
      </c>
    </row>
    <row r="2485" spans="1:29" ht="17">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5663</v>
      </c>
    </row>
    <row r="2486" spans="1:29" ht="17">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5663</v>
      </c>
    </row>
    <row r="2487" spans="1:29" ht="17">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5663</v>
      </c>
    </row>
    <row r="2488" spans="1:29" ht="17">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5663</v>
      </c>
    </row>
    <row r="2489" spans="1:29" ht="17">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5663</v>
      </c>
    </row>
    <row r="2490" spans="1:29" ht="17">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5663</v>
      </c>
    </row>
    <row r="2491" spans="1:29" ht="17">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5663</v>
      </c>
    </row>
    <row r="2492" spans="1:29" ht="17">
      <c r="A2492" s="2714"/>
      <c r="B2492" s="371">
        <v>103</v>
      </c>
      <c r="C2492" s="371" t="s">
        <v>6563</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5663</v>
      </c>
    </row>
    <row r="2493" spans="1:29" ht="17">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5663</v>
      </c>
    </row>
    <row r="2494" spans="1:29" ht="1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HYPERLINK("#'"&amp;$G$1&amp;"'!"&amp;ADDRESS(ROW(Notes!L4883),COLUMN(Notes!L4883),4),"* 请勿删除此行！点击往勾稽单元格，F5+Enter返回")</f>
        <v>* 请勿删除此行！点击往勾稽单元格，F5+Enter返回</v>
      </c>
      <c r="Z2494" s="609" t="s">
        <v>983</v>
      </c>
      <c r="AA2494" s="609" t="s">
        <v>5663</v>
      </c>
      <c r="AC2494" s="369" t="s">
        <v>6575</v>
      </c>
    </row>
    <row r="2495" spans="1:29" ht="17">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5663</v>
      </c>
    </row>
    <row r="2496" spans="1:29" ht="17">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7">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26">
      <c r="A2499" s="2714"/>
      <c r="B2499" s="371"/>
      <c r="C2499" s="371"/>
      <c r="D2499" s="2716"/>
      <c r="E2499" s="2716" t="s">
        <v>2749</v>
      </c>
      <c r="F2499" s="293"/>
      <c r="G2499" s="2305" t="s">
        <v>5489</v>
      </c>
      <c r="H2499" s="2306" t="str">
        <f>$V$2</f>
        <v>2019年12月31日</v>
      </c>
      <c r="I2499" s="2307" t="str">
        <f>$V$3</f>
        <v>2018年12月31日</v>
      </c>
      <c r="J2499" s="355" t="s">
        <v>5285</v>
      </c>
      <c r="K2499" s="434"/>
      <c r="L2499" s="434"/>
      <c r="M2499" s="435"/>
      <c r="N2499" s="434"/>
      <c r="O2499" s="434"/>
      <c r="P2499" s="435"/>
      <c r="Q2499" s="442"/>
      <c r="R2499" s="443"/>
      <c r="S2499" s="364"/>
      <c r="Z2499" s="609" t="s">
        <v>995</v>
      </c>
      <c r="AA2499" s="609" t="s">
        <v>3525</v>
      </c>
    </row>
    <row r="2500" spans="1:27" ht="17">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7">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7">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7">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7.5" thickBot="1">
      <c r="A2504" s="2714"/>
      <c r="B2504" s="371"/>
      <c r="C2504" s="371"/>
      <c r="D2504" s="2716">
        <f>IF(OR(G2504="*",G2504="",G2504=0),0,COUNTIF($G$2500:$G$2504,G2504))</f>
        <v>1</v>
      </c>
      <c r="E2504" s="2721" t="s">
        <v>2751</v>
      </c>
      <c r="F2504" s="293"/>
      <c r="G2504" s="2234" t="s">
        <v>5488</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7">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6">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65">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5285</v>
      </c>
      <c r="O2508" s="434"/>
      <c r="P2508" s="435"/>
      <c r="Q2508" s="442"/>
      <c r="R2508" s="443"/>
      <c r="S2508" s="364"/>
      <c r="Z2508" s="609" t="s">
        <v>995</v>
      </c>
      <c r="AA2508" s="609" t="s">
        <v>3525</v>
      </c>
    </row>
    <row r="2509" spans="1:27" ht="17">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7">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7">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7">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7">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7">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7">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7">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7">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6">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26">
      <c r="A2522" s="2714"/>
      <c r="B2522" s="371"/>
      <c r="C2522" s="371"/>
      <c r="D2522" s="2716"/>
      <c r="E2522" s="2716" t="s">
        <v>2749</v>
      </c>
      <c r="F2522" s="293"/>
      <c r="G2522" s="2305" t="s">
        <v>5489</v>
      </c>
      <c r="H2522" s="2306" t="str">
        <f>$V$2</f>
        <v>2019年12月31日</v>
      </c>
      <c r="I2522" s="2307" t="str">
        <f>$V$3</f>
        <v>2018年12月31日</v>
      </c>
      <c r="J2522" s="355" t="s">
        <v>5286</v>
      </c>
      <c r="K2522" s="434"/>
      <c r="L2522" s="434"/>
      <c r="M2522" s="435"/>
      <c r="N2522" s="434"/>
      <c r="O2522" s="434"/>
      <c r="P2522" s="435"/>
      <c r="Q2522" s="442"/>
      <c r="R2522" s="443"/>
      <c r="S2522" s="364"/>
      <c r="Z2522" s="609" t="s">
        <v>1008</v>
      </c>
      <c r="AA2522" s="609" t="s">
        <v>3537</v>
      </c>
    </row>
    <row r="2523" spans="1:27" ht="17">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7">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6">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7">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7">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7.5" thickBot="1">
      <c r="A2528" s="2714"/>
      <c r="B2528" s="371"/>
      <c r="C2528" s="371"/>
      <c r="D2528" s="2716">
        <f t="shared" si="263"/>
        <v>1</v>
      </c>
      <c r="E2528" s="2721" t="s">
        <v>2751</v>
      </c>
      <c r="F2528" s="293"/>
      <c r="G2528" s="2234" t="s">
        <v>5488</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7">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6">
      <c r="A2530" s="2714" t="s">
        <v>5618</v>
      </c>
      <c r="B2530" s="371">
        <v>2</v>
      </c>
      <c r="C2530" s="371"/>
      <c r="D2530" s="2716" t="str">
        <f>VLOOKUP($A2530,Sheet_NoteList,2,0)</f>
        <v>其他非流动金融资产——权益工具投资明细</v>
      </c>
      <c r="E2530" s="2716" t="s">
        <v>6533</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5626</v>
      </c>
      <c r="H2531" s="1617" t="s">
        <v>6332</v>
      </c>
      <c r="I2531" s="371" t="s">
        <v>6333</v>
      </c>
      <c r="J2531" s="371" t="s">
        <v>6334</v>
      </c>
      <c r="K2531" s="547" t="s">
        <v>6335</v>
      </c>
      <c r="L2531" s="547" t="s">
        <v>6336</v>
      </c>
      <c r="M2531" s="371" t="s">
        <v>6337</v>
      </c>
      <c r="N2531" s="391"/>
      <c r="O2531" s="349"/>
      <c r="P2531" s="301"/>
      <c r="S2531" s="364"/>
      <c r="Z2531" s="609" t="s">
        <v>1008</v>
      </c>
      <c r="AA2531" s="609" t="s">
        <v>3537</v>
      </c>
    </row>
    <row r="2532" spans="1:27" ht="26">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5631</v>
      </c>
      <c r="M2532" s="1644" t="s">
        <v>3379</v>
      </c>
      <c r="N2532" s="355" t="s">
        <v>6177</v>
      </c>
      <c r="O2532" s="349"/>
      <c r="P2532" s="301"/>
      <c r="S2532" s="364"/>
      <c r="Z2532" s="609" t="s">
        <v>1008</v>
      </c>
      <c r="AA2532" s="609" t="s">
        <v>3537</v>
      </c>
    </row>
    <row r="2533" spans="1:27" ht="17">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7">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7">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7">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7">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7">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7">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7">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7">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6">
      <c r="A2543" s="2714" t="s">
        <v>5619</v>
      </c>
      <c r="B2543" s="371">
        <v>3</v>
      </c>
      <c r="C2543" s="371"/>
      <c r="D2543" s="2716" t="str">
        <f>VLOOKUP($A2543,Sheet_NoteList,2,0)</f>
        <v>其他非流动金融资产——债务工具投资明细</v>
      </c>
      <c r="E2543" s="2716" t="s">
        <v>6533</v>
      </c>
      <c r="F2543" s="293"/>
      <c r="G2543" s="372" t="str">
        <f>"("&amp;B2543&amp;")"&amp;D2543</f>
        <v>(3)其他非流动金融资产——债务工具投资明细</v>
      </c>
      <c r="H2543" s="1517" t="str">
        <f>$A2543</f>
        <v>1539c</v>
      </c>
      <c r="I2543" s="343" t="s">
        <v>5627</v>
      </c>
      <c r="J2543" s="301" t="s">
        <v>5628</v>
      </c>
      <c r="K2543" s="2210">
        <f>H2554</f>
        <v>0</v>
      </c>
      <c r="L2543" s="349"/>
      <c r="M2543" s="301" t="s">
        <v>5629</v>
      </c>
      <c r="N2543" s="2210">
        <f>I2554</f>
        <v>0</v>
      </c>
      <c r="O2543" s="349"/>
      <c r="P2543" s="301"/>
      <c r="S2543" s="364"/>
      <c r="Z2543" s="609" t="s">
        <v>1008</v>
      </c>
      <c r="AA2543" s="609" t="s">
        <v>3537</v>
      </c>
    </row>
    <row r="2544" spans="1:27" ht="0.75" customHeight="1" thickBot="1">
      <c r="A2544" s="2714"/>
      <c r="B2544" s="371"/>
      <c r="C2544" s="371"/>
      <c r="D2544" s="2716"/>
      <c r="F2544" s="371"/>
      <c r="G2544" s="405" t="s">
        <v>5630</v>
      </c>
      <c r="H2544" s="1617" t="s">
        <v>6338</v>
      </c>
      <c r="I2544" s="371" t="s">
        <v>6339</v>
      </c>
      <c r="J2544" s="371" t="s">
        <v>6340</v>
      </c>
      <c r="K2544" s="547" t="s">
        <v>6341</v>
      </c>
      <c r="L2544" s="349"/>
      <c r="M2544" s="301"/>
      <c r="N2544" s="391"/>
      <c r="O2544" s="349"/>
      <c r="P2544" s="301"/>
      <c r="S2544" s="364"/>
      <c r="Z2544" s="609" t="s">
        <v>1008</v>
      </c>
      <c r="AA2544" s="609" t="s">
        <v>3537</v>
      </c>
    </row>
    <row r="2545" spans="1:27" ht="17">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6177</v>
      </c>
      <c r="M2545" s="301"/>
      <c r="N2545" s="391"/>
      <c r="O2545" s="349"/>
      <c r="P2545" s="301"/>
      <c r="S2545" s="364"/>
      <c r="Z2545" s="609" t="s">
        <v>1008</v>
      </c>
      <c r="AA2545" s="609" t="s">
        <v>3537</v>
      </c>
    </row>
    <row r="2546" spans="1:27" ht="17">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7">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7">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7">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7">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7">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7">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7">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7">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7">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6">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7">
      <c r="A2559" s="2714"/>
      <c r="B2559" s="371"/>
      <c r="C2559" s="371"/>
      <c r="D2559" s="2716"/>
      <c r="E2559" s="2716" t="s">
        <v>2749</v>
      </c>
      <c r="F2559" s="293"/>
      <c r="G2559" s="1471" t="s">
        <v>47</v>
      </c>
      <c r="H2559" s="1466" t="s">
        <v>3542</v>
      </c>
      <c r="I2559" s="1466" t="s">
        <v>3543</v>
      </c>
      <c r="J2559" s="1466" t="s">
        <v>344</v>
      </c>
      <c r="K2559" s="1473" t="s">
        <v>3351</v>
      </c>
      <c r="L2559" s="355" t="s">
        <v>5287</v>
      </c>
      <c r="M2559" s="435"/>
      <c r="N2559" s="434"/>
      <c r="O2559" s="434"/>
      <c r="P2559" s="435"/>
      <c r="Q2559" s="442"/>
      <c r="R2559" s="443"/>
      <c r="S2559" s="364"/>
      <c r="Z2559" s="609" t="s">
        <v>1053</v>
      </c>
      <c r="AA2559" s="609" t="s">
        <v>3540</v>
      </c>
    </row>
    <row r="2560" spans="1:27" ht="17">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7">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7">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7">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7">
      <c r="A2564" s="2714"/>
      <c r="B2564" s="371">
        <v>105</v>
      </c>
      <c r="C2564" s="371"/>
      <c r="D2564" s="2716">
        <f t="shared" si="266"/>
        <v>1</v>
      </c>
      <c r="E2564" s="2721">
        <v>1</v>
      </c>
      <c r="F2564" s="293"/>
      <c r="G2564" s="308" t="s">
        <v>5215</v>
      </c>
      <c r="H2564" s="309"/>
      <c r="I2564" s="309"/>
      <c r="J2564" s="309"/>
      <c r="K2564" s="1477">
        <f t="shared" si="267"/>
        <v>0</v>
      </c>
      <c r="L2564" s="437"/>
      <c r="M2564" s="438"/>
      <c r="N2564" s="439"/>
      <c r="O2564" s="437"/>
      <c r="P2564" s="438"/>
      <c r="Q2564" s="442"/>
      <c r="R2564" s="443"/>
      <c r="S2564" s="364"/>
      <c r="Z2564" s="609" t="s">
        <v>1053</v>
      </c>
      <c r="AA2564" s="609" t="s">
        <v>3540</v>
      </c>
    </row>
    <row r="2565" spans="1:27" ht="17">
      <c r="A2565" s="2714"/>
      <c r="B2565" s="371">
        <v>106</v>
      </c>
      <c r="C2565" s="371"/>
      <c r="D2565" s="2716">
        <f t="shared" si="266"/>
        <v>1</v>
      </c>
      <c r="E2565" s="2721">
        <v>1</v>
      </c>
      <c r="F2565" s="293"/>
      <c r="G2565" s="308" t="s">
        <v>5216</v>
      </c>
      <c r="H2565" s="309"/>
      <c r="I2565" s="309"/>
      <c r="J2565" s="309"/>
      <c r="K2565" s="1477">
        <f t="shared" si="267"/>
        <v>0</v>
      </c>
      <c r="L2565" s="437"/>
      <c r="M2565" s="438"/>
      <c r="N2565" s="439"/>
      <c r="O2565" s="437"/>
      <c r="P2565" s="438"/>
      <c r="Q2565" s="442"/>
      <c r="R2565" s="443"/>
      <c r="S2565" s="364"/>
      <c r="Z2565" s="609" t="s">
        <v>1053</v>
      </c>
      <c r="AA2565" s="609" t="s">
        <v>3540</v>
      </c>
    </row>
    <row r="2566" spans="1:27" ht="17">
      <c r="A2566" s="2714"/>
      <c r="B2566" s="371">
        <v>107</v>
      </c>
      <c r="C2566" s="371"/>
      <c r="D2566" s="2716">
        <f t="shared" si="266"/>
        <v>1</v>
      </c>
      <c r="E2566" s="2721">
        <v>1</v>
      </c>
      <c r="F2566" s="293"/>
      <c r="G2566" s="308" t="s">
        <v>5217</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7">
      <c r="A2567" s="2714"/>
      <c r="B2567" s="371">
        <v>108</v>
      </c>
      <c r="C2567" s="371"/>
      <c r="D2567" s="2716">
        <f t="shared" si="266"/>
        <v>1</v>
      </c>
      <c r="E2567" s="2721">
        <v>1</v>
      </c>
      <c r="F2567" s="293"/>
      <c r="G2567" s="308" t="s">
        <v>5218</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7">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7">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7">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7">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7">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7">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7">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7">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7">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7">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7">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7">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7">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7">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7">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7">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7">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7">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7">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7">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7">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7">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7">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7">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7">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7">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7">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7">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7">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7.5" thickBot="1">
      <c r="A2597" s="2714"/>
      <c r="B2597" s="371"/>
      <c r="C2597" s="371"/>
      <c r="D2597" s="2716">
        <f t="shared" si="266"/>
        <v>0</v>
      </c>
      <c r="E2597" s="2721" t="s">
        <v>6557</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7">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6">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6231</v>
      </c>
      <c r="I2600" s="371" t="s">
        <v>6232</v>
      </c>
      <c r="J2600" s="371" t="s">
        <v>6233</v>
      </c>
      <c r="K2600" s="371" t="s">
        <v>6234</v>
      </c>
      <c r="L2600" s="433"/>
      <c r="M2600" s="433"/>
      <c r="N2600" s="433"/>
      <c r="O2600" s="433"/>
      <c r="P2600" s="433"/>
      <c r="Q2600" s="472"/>
      <c r="R2600" s="524"/>
      <c r="S2600" s="364"/>
      <c r="Z2600" s="609" t="s">
        <v>1053</v>
      </c>
      <c r="AA2600" s="609" t="s">
        <v>3540</v>
      </c>
    </row>
    <row r="2601" spans="1:27" ht="17">
      <c r="A2601" s="2714"/>
      <c r="B2601" s="371"/>
      <c r="C2601" s="371"/>
      <c r="D2601" s="371"/>
      <c r="E2601" s="2716" t="s">
        <v>2749</v>
      </c>
      <c r="F2601" s="294"/>
      <c r="G2601" s="1578" t="s">
        <v>5489</v>
      </c>
      <c r="H2601" s="1468" t="s">
        <v>3542</v>
      </c>
      <c r="I2601" s="1469" t="s">
        <v>3543</v>
      </c>
      <c r="J2601" s="1469" t="s">
        <v>344</v>
      </c>
      <c r="K2601" s="1470" t="s">
        <v>3351</v>
      </c>
      <c r="L2601" s="355" t="s">
        <v>5287</v>
      </c>
      <c r="M2601" s="478"/>
      <c r="N2601" s="478"/>
      <c r="O2601" s="568"/>
      <c r="P2601" s="479"/>
      <c r="Q2601" s="472"/>
      <c r="R2601" s="524"/>
      <c r="S2601" s="364"/>
      <c r="Z2601" s="609" t="s">
        <v>1053</v>
      </c>
      <c r="AA2601" s="609" t="s">
        <v>3540</v>
      </c>
    </row>
    <row r="2602" spans="1:27" ht="17">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7">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7">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7">
      <c r="A2605" s="2714"/>
      <c r="B2605" s="371">
        <v>104</v>
      </c>
      <c r="C2605" s="371"/>
      <c r="D2605" s="2716">
        <f t="shared" si="275"/>
        <v>1</v>
      </c>
      <c r="E2605" s="2721">
        <v>0</v>
      </c>
      <c r="F2605" s="294"/>
      <c r="G2605" s="308" t="s">
        <v>5215</v>
      </c>
      <c r="H2605" s="320"/>
      <c r="I2605" s="320"/>
      <c r="J2605" s="320"/>
      <c r="K2605" s="1477">
        <f t="shared" si="277"/>
        <v>0</v>
      </c>
      <c r="L2605" s="520"/>
      <c r="M2605" s="520"/>
      <c r="N2605" s="520"/>
      <c r="O2605" s="438"/>
      <c r="P2605" s="569"/>
      <c r="Q2605" s="472"/>
      <c r="R2605" s="524"/>
      <c r="S2605" s="364"/>
      <c r="Z2605" s="609" t="s">
        <v>1053</v>
      </c>
      <c r="AA2605" s="609" t="s">
        <v>3540</v>
      </c>
    </row>
    <row r="2606" spans="1:27" ht="17">
      <c r="A2606" s="2714"/>
      <c r="B2606" s="371">
        <v>105</v>
      </c>
      <c r="C2606" s="371"/>
      <c r="D2606" s="2716">
        <f t="shared" si="275"/>
        <v>1</v>
      </c>
      <c r="E2606" s="2721">
        <v>0</v>
      </c>
      <c r="F2606" s="294"/>
      <c r="G2606" s="308" t="s">
        <v>5216</v>
      </c>
      <c r="H2606" s="320"/>
      <c r="I2606" s="320"/>
      <c r="J2606" s="320"/>
      <c r="K2606" s="1477">
        <f t="shared" si="277"/>
        <v>0</v>
      </c>
      <c r="L2606" s="520"/>
      <c r="M2606" s="520"/>
      <c r="N2606" s="520"/>
      <c r="O2606" s="438"/>
      <c r="P2606" s="569"/>
      <c r="Q2606" s="472"/>
      <c r="R2606" s="524"/>
      <c r="S2606" s="364"/>
      <c r="Z2606" s="609" t="s">
        <v>1053</v>
      </c>
      <c r="AA2606" s="609" t="s">
        <v>3540</v>
      </c>
    </row>
    <row r="2607" spans="1:27" ht="17">
      <c r="A2607" s="2714"/>
      <c r="B2607" s="371">
        <v>106</v>
      </c>
      <c r="C2607" s="371"/>
      <c r="D2607" s="2716">
        <f t="shared" si="275"/>
        <v>1</v>
      </c>
      <c r="E2607" s="2721">
        <v>0</v>
      </c>
      <c r="F2607" s="294"/>
      <c r="G2607" s="308" t="s">
        <v>5217</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7">
      <c r="A2608" s="2714"/>
      <c r="B2608" s="371">
        <v>107</v>
      </c>
      <c r="C2608" s="371"/>
      <c r="D2608" s="2716">
        <f t="shared" si="275"/>
        <v>1</v>
      </c>
      <c r="E2608" s="2721">
        <v>0</v>
      </c>
      <c r="F2608" s="294"/>
      <c r="G2608" s="308" t="s">
        <v>5218</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7">
      <c r="A2609" s="2714"/>
      <c r="B2609" s="371">
        <v>109</v>
      </c>
      <c r="C2609" s="371"/>
      <c r="D2609" s="2716">
        <f t="shared" si="275"/>
        <v>1</v>
      </c>
      <c r="E2609" s="2721">
        <v>0</v>
      </c>
      <c r="F2609" s="294"/>
      <c r="G2609" s="308" t="s">
        <v>5219</v>
      </c>
      <c r="H2609" s="320"/>
      <c r="I2609" s="320"/>
      <c r="J2609" s="320"/>
      <c r="K2609" s="1477">
        <f t="shared" si="277"/>
        <v>0</v>
      </c>
      <c r="L2609" s="520"/>
      <c r="M2609" s="520"/>
      <c r="N2609" s="520"/>
      <c r="O2609" s="438"/>
      <c r="P2609" s="569"/>
      <c r="Q2609" s="472"/>
      <c r="R2609" s="524"/>
      <c r="S2609" s="364"/>
      <c r="Z2609" s="609" t="s">
        <v>1053</v>
      </c>
      <c r="AA2609" s="609" t="s">
        <v>3540</v>
      </c>
    </row>
    <row r="2610" spans="1:27" ht="17">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7">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7">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7">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7">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7">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7">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6">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4"/>
      <c r="L2618" s="315"/>
      <c r="M2618" s="301"/>
      <c r="N2618" s="3084"/>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6">
      <c r="A2620" s="2714"/>
      <c r="B2620" s="371"/>
      <c r="C2620" s="371"/>
      <c r="D2620" s="371"/>
      <c r="E2620" s="2716" t="s">
        <v>2749</v>
      </c>
      <c r="F2620" s="294"/>
      <c r="G2620" s="1578" t="s">
        <v>5489</v>
      </c>
      <c r="H2620" s="506" t="s">
        <v>2863</v>
      </c>
      <c r="I2620" s="1510" t="s">
        <v>5288</v>
      </c>
      <c r="J2620" s="355" t="s">
        <v>5287</v>
      </c>
      <c r="K2620" s="571"/>
      <c r="L2620" s="571"/>
      <c r="M2620" s="572"/>
      <c r="N2620" s="573"/>
      <c r="O2620" s="442"/>
      <c r="P2620" s="442"/>
      <c r="Q2620" s="442"/>
      <c r="R2620" s="443"/>
      <c r="S2620" s="364"/>
      <c r="Z2620" s="609" t="s">
        <v>1053</v>
      </c>
      <c r="AA2620" s="609" t="s">
        <v>3540</v>
      </c>
    </row>
    <row r="2621" spans="1:27" ht="17">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7">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7">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7">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7">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7">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7">
      <c r="A2628" s="2714" t="s">
        <v>1088</v>
      </c>
      <c r="B2628" s="371">
        <v>4</v>
      </c>
      <c r="C2628" s="371"/>
      <c r="D2628" s="2716" t="str">
        <f>VLOOKUP($A2628,Sheet_NoteList,2,0)</f>
        <v>投资性房地产抵押情况</v>
      </c>
      <c r="E2628" s="2716" t="s">
        <v>6533</v>
      </c>
      <c r="F2628" s="294"/>
      <c r="G2628" s="307" t="str">
        <f>"("&amp;B2628&amp;")"&amp;D2628</f>
        <v>(4)投资性房地产抵押情况</v>
      </c>
      <c r="H2628" s="1517" t="str">
        <f>$A2628</f>
        <v>1521s</v>
      </c>
      <c r="I2628" s="343" t="s">
        <v>5966</v>
      </c>
      <c r="J2628" s="301"/>
      <c r="K2628" s="3084"/>
      <c r="L2628" s="315"/>
      <c r="M2628" s="301"/>
      <c r="N2628" s="3084"/>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7">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6177</v>
      </c>
      <c r="S2630" s="364"/>
      <c r="Z2630" s="609" t="s">
        <v>1053</v>
      </c>
      <c r="AA2630" s="609" t="s">
        <v>3540</v>
      </c>
    </row>
    <row r="2631" spans="1:27" ht="17">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7">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7">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7">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7">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7">
      <c r="A2637" s="2714"/>
      <c r="B2637" s="371"/>
      <c r="C2637" s="371" t="s">
        <v>2755</v>
      </c>
      <c r="D2637" s="371"/>
      <c r="F2637" s="294"/>
      <c r="G2637" s="301"/>
      <c r="H2637" s="315"/>
      <c r="I2637" s="315"/>
      <c r="J2637" s="315"/>
      <c r="K2637" s="315"/>
      <c r="L2637" s="393"/>
      <c r="M2637" s="349"/>
      <c r="S2637" s="364"/>
      <c r="Z2637" s="609" t="s">
        <v>1053</v>
      </c>
      <c r="AA2637" s="609" t="s">
        <v>3540</v>
      </c>
    </row>
    <row r="2638" spans="1:27" ht="17">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0</v>
      </c>
      <c r="O2638" s="342"/>
      <c r="P2638" s="301"/>
      <c r="S2638" s="364"/>
      <c r="Z2638" s="609" t="s">
        <v>1100</v>
      </c>
      <c r="AA2638" s="609"/>
    </row>
    <row r="2639" spans="1:27" ht="17">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26.5" thickTop="1">
      <c r="A2641" s="2714"/>
      <c r="B2641" s="371"/>
      <c r="C2641" s="371"/>
      <c r="D2641" s="2716"/>
      <c r="E2641" s="2716" t="s">
        <v>2749</v>
      </c>
      <c r="F2641" s="371"/>
      <c r="G2641" s="373" t="s">
        <v>47</v>
      </c>
      <c r="H2641" s="1454" t="str">
        <f>$V$2</f>
        <v>2019年12月31日</v>
      </c>
      <c r="I2641" s="1455" t="str">
        <f>$V$3</f>
        <v>2018年12月31日</v>
      </c>
      <c r="J2641" s="355" t="s">
        <v>5289</v>
      </c>
      <c r="K2641" s="1584" t="str">
        <f>""&amp;"&gt;本期:"&amp;""</f>
        <v>&gt;本期:</v>
      </c>
      <c r="L2641" s="1584" t="str">
        <f>""&amp;"&gt;上期:"&amp;""</f>
        <v>&gt;上期:</v>
      </c>
      <c r="M2641" s="2658" t="str">
        <f>""&amp;"NoteID"&amp;""</f>
        <v>NoteID</v>
      </c>
      <c r="N2641" s="391"/>
      <c r="O2641" s="349"/>
      <c r="P2641" s="301"/>
      <c r="S2641" s="364"/>
      <c r="Z2641" s="609" t="s">
        <v>1100</v>
      </c>
      <c r="AA2641" s="609"/>
    </row>
    <row r="2642" spans="1:27" ht="17">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7">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7">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0</v>
      </c>
      <c r="M2645" s="1531">
        <f t="shared" si="285"/>
        <v>0</v>
      </c>
      <c r="N2645" s="391"/>
      <c r="O2645" s="349"/>
      <c r="P2645" s="301"/>
      <c r="S2645" s="364"/>
      <c r="Z2645" s="609" t="s">
        <v>1100</v>
      </c>
      <c r="AA2645" s="609"/>
    </row>
    <row r="2646" spans="1:27" ht="17">
      <c r="A2646" s="2714"/>
      <c r="B2646" s="371"/>
      <c r="C2646" s="371" t="s">
        <v>2755</v>
      </c>
      <c r="D2646" s="2716"/>
      <c r="F2646" s="371"/>
      <c r="G2646" s="376"/>
      <c r="H2646" s="315"/>
      <c r="I2646" s="396"/>
      <c r="J2646" s="301"/>
      <c r="K2646" s="1539" t="s">
        <v>5496</v>
      </c>
      <c r="L2646" s="317"/>
      <c r="M2646" s="354"/>
      <c r="N2646" s="391"/>
      <c r="O2646" s="349"/>
      <c r="P2646" s="301"/>
      <c r="S2646" s="364"/>
      <c r="Z2646" s="609" t="s">
        <v>1100</v>
      </c>
      <c r="AA2646" s="609"/>
    </row>
    <row r="2647" spans="1:27" ht="17">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0</v>
      </c>
      <c r="O2647" s="306"/>
      <c r="P2647" s="301"/>
      <c r="S2647" s="364"/>
      <c r="Z2647" s="609" t="s">
        <v>1107</v>
      </c>
      <c r="AA2647" s="609" t="s">
        <v>3598</v>
      </c>
    </row>
    <row r="2648" spans="1:27" ht="17">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0</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5436</v>
      </c>
      <c r="I2649" s="371" t="s">
        <v>5437</v>
      </c>
      <c r="J2649" s="371" t="s">
        <v>5438</v>
      </c>
      <c r="K2649" s="371" t="s">
        <v>5439</v>
      </c>
      <c r="L2649" s="371" t="s">
        <v>5440</v>
      </c>
      <c r="M2649" s="371" t="s">
        <v>5441</v>
      </c>
      <c r="N2649" s="371" t="s">
        <v>5442</v>
      </c>
      <c r="O2649" s="371" t="s">
        <v>5443</v>
      </c>
      <c r="P2649" s="371" t="s">
        <v>5444</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5264</v>
      </c>
      <c r="K2650" s="547" t="s">
        <v>3572</v>
      </c>
      <c r="L2650" s="547" t="s">
        <v>5160</v>
      </c>
      <c r="M2650" s="371" t="s">
        <v>5265</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10" t="s">
        <v>47</v>
      </c>
      <c r="H2651" s="3218" t="s">
        <v>3574</v>
      </c>
      <c r="I2651" s="3218" t="s">
        <v>3558</v>
      </c>
      <c r="J2651" s="3218"/>
      <c r="K2651" s="3218"/>
      <c r="L2651" s="3218"/>
      <c r="M2651" s="3218"/>
      <c r="N2651" s="3218" t="s">
        <v>3560</v>
      </c>
      <c r="O2651" s="3218"/>
      <c r="P2651" s="3282" t="s">
        <v>3575</v>
      </c>
      <c r="Q2651" s="355" t="s">
        <v>5289</v>
      </c>
      <c r="R2651" s="443"/>
      <c r="S2651" s="364"/>
      <c r="Z2651" s="609" t="s">
        <v>1107</v>
      </c>
      <c r="AA2651" s="609" t="s">
        <v>3598</v>
      </c>
    </row>
    <row r="2652" spans="1:27" ht="26">
      <c r="A2652" s="2714"/>
      <c r="B2652" s="371"/>
      <c r="C2652" s="371"/>
      <c r="D2652" s="2716"/>
      <c r="E2652" s="2716" t="s">
        <v>2749</v>
      </c>
      <c r="F2652" s="293"/>
      <c r="G2652" s="3211"/>
      <c r="H2652" s="3307"/>
      <c r="I2652" s="2286" t="s">
        <v>3576</v>
      </c>
      <c r="J2652" s="2286" t="s">
        <v>3603</v>
      </c>
      <c r="K2652" s="2279" t="s">
        <v>3547</v>
      </c>
      <c r="L2652" s="2344" t="s">
        <v>5158</v>
      </c>
      <c r="M2652" s="2344" t="s">
        <v>5157</v>
      </c>
      <c r="N2652" s="2286" t="s">
        <v>3605</v>
      </c>
      <c r="O2652" s="2286" t="s">
        <v>3609</v>
      </c>
      <c r="P2652" s="3283"/>
      <c r="Q2652" s="442"/>
      <c r="R2652" s="443"/>
      <c r="S2652" s="364"/>
      <c r="Z2652" s="609" t="s">
        <v>1107</v>
      </c>
      <c r="AA2652" s="609" t="s">
        <v>3598</v>
      </c>
    </row>
    <row r="2653" spans="1:27" ht="17">
      <c r="A2653" s="2714"/>
      <c r="B2653" s="371">
        <v>101</v>
      </c>
      <c r="C2653" s="371"/>
      <c r="D2653" s="2716">
        <f t="shared" ref="D2653:D2696" si="286">IF(OR(G2653="*",G2653="",G2653=0),0,COUNTIF($G$2653:$G$2696,G2653))</f>
        <v>1</v>
      </c>
      <c r="E2653" s="2721" t="s">
        <v>6536</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7">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7">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7">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7">
      <c r="A2657" s="2714"/>
      <c r="B2657" s="371">
        <v>101.004</v>
      </c>
      <c r="C2657" s="371" t="s">
        <v>2791</v>
      </c>
      <c r="D2657" s="2716">
        <f t="shared" si="286"/>
        <v>1</v>
      </c>
      <c r="E2657" s="2721" t="s">
        <v>5159</v>
      </c>
      <c r="F2657" s="294"/>
      <c r="G2657" s="1506" t="s">
        <v>5187</v>
      </c>
      <c r="H2657" s="309"/>
      <c r="I2657" s="309"/>
      <c r="J2657" s="309"/>
      <c r="K2657" s="309"/>
      <c r="L2657" s="1465">
        <v>0</v>
      </c>
      <c r="M2657" s="309"/>
      <c r="N2657" s="320"/>
      <c r="O2657" s="309"/>
      <c r="P2657" s="1477">
        <f t="shared" si="287"/>
        <v>0</v>
      </c>
      <c r="Q2657" s="442"/>
      <c r="R2657" s="443"/>
      <c r="S2657" s="364"/>
      <c r="Z2657" s="609" t="s">
        <v>1107</v>
      </c>
      <c r="AA2657" s="609" t="s">
        <v>3598</v>
      </c>
    </row>
    <row r="2658" spans="1:27" ht="17">
      <c r="A2658" s="2714"/>
      <c r="B2658" s="371">
        <v>101.005</v>
      </c>
      <c r="C2658" s="371" t="s">
        <v>2791</v>
      </c>
      <c r="D2658" s="2716">
        <f t="shared" si="286"/>
        <v>1</v>
      </c>
      <c r="E2658" s="2721" t="s">
        <v>5159</v>
      </c>
      <c r="F2658" s="294"/>
      <c r="G2658" s="1506" t="s">
        <v>5188</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7">
      <c r="A2659" s="2714"/>
      <c r="B2659" s="371">
        <v>101.006</v>
      </c>
      <c r="C2659" s="371" t="s">
        <v>2791</v>
      </c>
      <c r="D2659" s="2716">
        <f t="shared" si="286"/>
        <v>1</v>
      </c>
      <c r="E2659" s="2721" t="s">
        <v>5159</v>
      </c>
      <c r="F2659" s="294"/>
      <c r="G2659" s="1506" t="s">
        <v>5189</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7">
      <c r="A2660" s="2714"/>
      <c r="B2660" s="371">
        <v>101.00700000000001</v>
      </c>
      <c r="C2660" s="371" t="s">
        <v>2791</v>
      </c>
      <c r="D2660" s="2716">
        <f t="shared" si="286"/>
        <v>1</v>
      </c>
      <c r="E2660" s="2721" t="s">
        <v>5159</v>
      </c>
      <c r="F2660" s="294"/>
      <c r="G2660" s="1506" t="s">
        <v>5190</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7">
      <c r="A2661" s="2714"/>
      <c r="B2661" s="371">
        <v>101.008</v>
      </c>
      <c r="C2661" s="371" t="s">
        <v>6534</v>
      </c>
      <c r="D2661" s="2716">
        <f t="shared" si="286"/>
        <v>1</v>
      </c>
      <c r="E2661" s="2721" t="s">
        <v>5159</v>
      </c>
      <c r="F2661" s="294"/>
      <c r="G2661" s="1506" t="s">
        <v>5191</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7">
      <c r="A2662" s="2714"/>
      <c r="B2662" s="371">
        <v>101.009</v>
      </c>
      <c r="C2662" s="371" t="s">
        <v>2791</v>
      </c>
      <c r="D2662" s="2716">
        <f t="shared" si="286"/>
        <v>1</v>
      </c>
      <c r="E2662" s="2721" t="s">
        <v>5159</v>
      </c>
      <c r="F2662" s="294"/>
      <c r="G2662" s="1506" t="s">
        <v>5192</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7">
      <c r="A2663" s="2714"/>
      <c r="B2663" s="371">
        <v>101.999</v>
      </c>
      <c r="C2663" s="371" t="s">
        <v>6564</v>
      </c>
      <c r="D2663" s="2716">
        <f t="shared" si="286"/>
        <v>1</v>
      </c>
      <c r="E2663" s="2721">
        <v>1</v>
      </c>
      <c r="F2663" s="294"/>
      <c r="G2663" s="632" t="s">
        <v>5161</v>
      </c>
      <c r="H2663" s="1476">
        <f t="shared" ref="H2663:P2663" si="288">SUMIF($E$2652:$E$2695,$G2663,H$2652:H$2695)</f>
        <v>0</v>
      </c>
      <c r="I2663" s="1476">
        <f t="shared" si="288"/>
        <v>0</v>
      </c>
      <c r="J2663" s="1476">
        <f t="shared" si="288"/>
        <v>0</v>
      </c>
      <c r="K2663" s="1476">
        <f t="shared" si="288"/>
        <v>0</v>
      </c>
      <c r="L2663" s="1483">
        <f t="shared" si="288"/>
        <v>0</v>
      </c>
      <c r="M2663" s="1476">
        <f t="shared" si="288"/>
        <v>0</v>
      </c>
      <c r="N2663" s="1476">
        <f t="shared" si="288"/>
        <v>0</v>
      </c>
      <c r="O2663" s="1476">
        <f t="shared" si="288"/>
        <v>0</v>
      </c>
      <c r="P2663" s="1477">
        <f t="shared" si="288"/>
        <v>0</v>
      </c>
      <c r="Q2663" s="442"/>
      <c r="R2663" s="443"/>
      <c r="S2663" s="364"/>
      <c r="Z2663" s="609" t="s">
        <v>1107</v>
      </c>
      <c r="AA2663" s="609" t="s">
        <v>3598</v>
      </c>
    </row>
    <row r="2664" spans="1:27" ht="17">
      <c r="A2664" s="2714"/>
      <c r="B2664" s="371">
        <v>102</v>
      </c>
      <c r="C2664" s="371"/>
      <c r="D2664" s="2716">
        <f t="shared" si="286"/>
        <v>1</v>
      </c>
      <c r="E2664" s="2721" t="s">
        <v>6565</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7">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7">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7">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7">
      <c r="A2668" s="2714"/>
      <c r="B2668" s="371">
        <v>102.004</v>
      </c>
      <c r="C2668" s="371" t="s">
        <v>2791</v>
      </c>
      <c r="D2668" s="2716">
        <f t="shared" si="286"/>
        <v>1</v>
      </c>
      <c r="E2668" s="2721" t="s">
        <v>486</v>
      </c>
      <c r="F2668" s="294"/>
      <c r="G2668" s="1506" t="str">
        <f>G$2657&amp;" "</f>
        <v xml:space="preserve">*4（在原值处修改或清除） </v>
      </c>
      <c r="H2668" s="309"/>
      <c r="I2668" s="1465">
        <v>0</v>
      </c>
      <c r="J2668" s="1465">
        <v>0</v>
      </c>
      <c r="K2668" s="1465">
        <v>0</v>
      </c>
      <c r="L2668" s="309"/>
      <c r="M2668" s="309"/>
      <c r="N2668" s="320"/>
      <c r="O2668" s="309"/>
      <c r="P2668" s="1477">
        <f t="shared" si="289"/>
        <v>0</v>
      </c>
      <c r="Q2668" s="442"/>
      <c r="R2668" s="443"/>
      <c r="S2668" s="364"/>
      <c r="Z2668" s="609" t="s">
        <v>1107</v>
      </c>
      <c r="AA2668" s="609" t="s">
        <v>3598</v>
      </c>
    </row>
    <row r="2669" spans="1:27" ht="17">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7">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7">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7">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7">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7">
      <c r="A2674" s="2714"/>
      <c r="B2674" s="371">
        <v>102.999</v>
      </c>
      <c r="C2674" s="371" t="s">
        <v>2793</v>
      </c>
      <c r="D2674" s="2716">
        <f t="shared" si="286"/>
        <v>1</v>
      </c>
      <c r="E2674" s="2721">
        <v>-1</v>
      </c>
      <c r="F2674" s="294"/>
      <c r="G2674" s="632" t="s">
        <v>5162</v>
      </c>
      <c r="H2674" s="1476">
        <f t="shared" ref="H2674:P2674" si="290">SUMIF($E$2652:$E$2695,$G2674,H$2652:H$2695)</f>
        <v>0</v>
      </c>
      <c r="I2674" s="1483">
        <f t="shared" si="290"/>
        <v>0</v>
      </c>
      <c r="J2674" s="1483">
        <f t="shared" si="290"/>
        <v>0</v>
      </c>
      <c r="K2674" s="1483">
        <f t="shared" si="290"/>
        <v>0</v>
      </c>
      <c r="L2674" s="1476">
        <f t="shared" si="290"/>
        <v>0</v>
      </c>
      <c r="M2674" s="1476">
        <f t="shared" si="290"/>
        <v>0</v>
      </c>
      <c r="N2674" s="1476">
        <f t="shared" si="290"/>
        <v>0</v>
      </c>
      <c r="O2674" s="1476">
        <f t="shared" si="290"/>
        <v>0</v>
      </c>
      <c r="P2674" s="1477">
        <f t="shared" si="290"/>
        <v>0</v>
      </c>
      <c r="Q2674" s="442"/>
      <c r="R2674" s="443"/>
      <c r="S2674" s="364"/>
      <c r="Z2674" s="609" t="s">
        <v>1107</v>
      </c>
      <c r="AA2674" s="609" t="s">
        <v>3598</v>
      </c>
    </row>
    <row r="2675" spans="1:29" ht="17">
      <c r="A2675" s="2714"/>
      <c r="B2675" s="371">
        <v>103</v>
      </c>
      <c r="C2675" s="371"/>
      <c r="D2675" s="2716">
        <f t="shared" si="286"/>
        <v>1</v>
      </c>
      <c r="E2675" s="2721" t="s">
        <v>6566</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7">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7">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7">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7">
      <c r="A2679" s="2714"/>
      <c r="B2679" s="371">
        <v>103.004</v>
      </c>
      <c r="C2679" s="371" t="s">
        <v>2791</v>
      </c>
      <c r="D2679" s="2716">
        <f t="shared" si="286"/>
        <v>1</v>
      </c>
      <c r="E2679" s="2721" t="s">
        <v>3097</v>
      </c>
      <c r="F2679" s="294"/>
      <c r="G2679" s="1506" t="str">
        <f>G$2657&amp;"  "</f>
        <v xml:space="preserve">*4（在原值处修改或清除）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7">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7">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7">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7">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7">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7">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7">
      <c r="A2686" s="2714"/>
      <c r="B2686" s="371">
        <v>104</v>
      </c>
      <c r="C2686" s="371"/>
      <c r="D2686" s="2716">
        <f t="shared" si="286"/>
        <v>1</v>
      </c>
      <c r="E2686" s="2721" t="s">
        <v>6566</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7">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7">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7">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7">
      <c r="A2690" s="2714"/>
      <c r="B2690" s="371">
        <v>108</v>
      </c>
      <c r="C2690" s="371" t="s">
        <v>2791</v>
      </c>
      <c r="D2690" s="2716">
        <f t="shared" si="286"/>
        <v>1</v>
      </c>
      <c r="E2690" s="2721">
        <v>0</v>
      </c>
      <c r="F2690" s="294"/>
      <c r="G2690" s="1506" t="str">
        <f>G$2657&amp;"   "</f>
        <v xml:space="preserve">*4（在原值处修改或清除）   </v>
      </c>
      <c r="H2690" s="1476">
        <f t="shared" si="293"/>
        <v>0</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7">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7">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7">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7">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7">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7.5" thickBot="1">
      <c r="A2696" s="2714"/>
      <c r="B2696" s="371"/>
      <c r="C2696" s="371"/>
      <c r="D2696" s="2716">
        <f t="shared" si="286"/>
        <v>1</v>
      </c>
      <c r="E2696" s="2721" t="s">
        <v>2751</v>
      </c>
      <c r="F2696" s="293"/>
      <c r="G2696" s="2345" t="s">
        <v>2863</v>
      </c>
      <c r="H2696" s="1478">
        <f t="shared" ref="H2696:P2696" si="295">SUMPRODUCT($E2652:$E2695,H2652:H2695)</f>
        <v>0</v>
      </c>
      <c r="I2696" s="1478">
        <f t="shared" si="295"/>
        <v>0</v>
      </c>
      <c r="J2696" s="1478">
        <f t="shared" si="295"/>
        <v>0</v>
      </c>
      <c r="K2696" s="1478">
        <f t="shared" si="295"/>
        <v>0</v>
      </c>
      <c r="L2696" s="1478">
        <f t="shared" si="295"/>
        <v>0</v>
      </c>
      <c r="M2696" s="1478">
        <f t="shared" si="295"/>
        <v>0</v>
      </c>
      <c r="N2696" s="1478">
        <f t="shared" si="295"/>
        <v>0</v>
      </c>
      <c r="O2696" s="1478">
        <f t="shared" si="295"/>
        <v>0</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6575</v>
      </c>
    </row>
    <row r="2697" spans="1:29" ht="1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7.5" thickTop="1">
      <c r="A2698" s="2714"/>
      <c r="B2698" s="371"/>
      <c r="C2698" s="371" t="s">
        <v>2565</v>
      </c>
      <c r="D2698" s="2716"/>
      <c r="F2698" s="293"/>
      <c r="G2698" s="1549" t="s">
        <v>5370</v>
      </c>
      <c r="H2698" s="1550"/>
      <c r="I2698" s="1551"/>
      <c r="J2698" s="1551"/>
      <c r="K2698" s="1551"/>
      <c r="L2698" s="1551"/>
      <c r="M2698" s="1551"/>
      <c r="N2698" s="1551"/>
      <c r="O2698" s="1551"/>
      <c r="P2698" s="1552"/>
      <c r="Q2698" s="1553" t="s">
        <v>5369</v>
      </c>
      <c r="R2698" s="442"/>
      <c r="S2698" s="364"/>
      <c r="Z2698" s="609" t="s">
        <v>1107</v>
      </c>
      <c r="AA2698" s="609" t="s">
        <v>3598</v>
      </c>
    </row>
    <row r="2699" spans="1:29" ht="17">
      <c r="A2699" s="2714"/>
      <c r="B2699" s="371"/>
      <c r="C2699" s="371" t="s">
        <v>2565</v>
      </c>
      <c r="D2699" s="2716"/>
      <c r="F2699" s="293"/>
      <c r="G2699" s="604" t="str">
        <f>"本注释A:"&amp; "账面价值分类加计"</f>
        <v>本注释A:账面价值分类加计</v>
      </c>
      <c r="H2699" s="456">
        <f>SUM(H2687:H2695)</f>
        <v>0</v>
      </c>
      <c r="I2699" s="351"/>
      <c r="J2699" s="351"/>
      <c r="K2699" s="351"/>
      <c r="L2699" s="351"/>
      <c r="M2699" s="351"/>
      <c r="N2699" s="1543"/>
      <c r="O2699" s="1543"/>
      <c r="P2699" s="1544">
        <f>SUM(P2687:P2695)</f>
        <v>0</v>
      </c>
      <c r="Q2699" s="1544"/>
      <c r="R2699" s="442"/>
      <c r="S2699" s="364"/>
      <c r="Z2699" s="609" t="s">
        <v>1107</v>
      </c>
      <c r="AA2699" s="609" t="s">
        <v>3598</v>
      </c>
    </row>
    <row r="2700" spans="1:29" ht="17">
      <c r="A2700" s="2714"/>
      <c r="B2700" s="371"/>
      <c r="C2700" s="371" t="s">
        <v>2565</v>
      </c>
      <c r="D2700" s="2716"/>
      <c r="F2700" s="293"/>
      <c r="G2700" s="604" t="str">
        <f>"本注释B:"&amp; G2696</f>
        <v>本注释B:账面价值</v>
      </c>
      <c r="H2700" s="456">
        <f>H2696</f>
        <v>0</v>
      </c>
      <c r="I2700" s="351"/>
      <c r="J2700" s="351"/>
      <c r="K2700" s="351"/>
      <c r="L2700" s="351"/>
      <c r="M2700" s="351"/>
      <c r="N2700" s="1543"/>
      <c r="O2700" s="1543"/>
      <c r="P2700" s="1544">
        <f>P2696</f>
        <v>0</v>
      </c>
      <c r="Q2700" s="1544" t="s">
        <v>1105</v>
      </c>
      <c r="R2700" s="442"/>
      <c r="S2700" s="364"/>
      <c r="Z2700" s="609" t="s">
        <v>1107</v>
      </c>
      <c r="AA2700" s="609" t="s">
        <v>3598</v>
      </c>
    </row>
    <row r="2701" spans="1:29" ht="1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7">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7">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6">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4"/>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7">
      <c r="A2707" s="2714"/>
      <c r="B2707" s="371"/>
      <c r="C2707" s="371"/>
      <c r="D2707" s="371"/>
      <c r="E2707" s="586" t="s">
        <v>2749</v>
      </c>
      <c r="F2707" s="363"/>
      <c r="G2707" s="2289" t="s">
        <v>47</v>
      </c>
      <c r="H2707" s="2311" t="s">
        <v>6036</v>
      </c>
      <c r="I2707" s="2291" t="s">
        <v>486</v>
      </c>
      <c r="J2707" s="2291" t="s">
        <v>3097</v>
      </c>
      <c r="K2707" s="2291" t="s">
        <v>2863</v>
      </c>
      <c r="L2707" s="2293" t="s">
        <v>2508</v>
      </c>
      <c r="M2707" s="355" t="s">
        <v>5289</v>
      </c>
      <c r="N2707" s="291"/>
      <c r="O2707" s="291"/>
      <c r="P2707" s="291"/>
      <c r="S2707" s="364"/>
      <c r="Z2707" s="609" t="s">
        <v>1107</v>
      </c>
      <c r="AA2707" s="609" t="s">
        <v>3598</v>
      </c>
    </row>
    <row r="2708" spans="1:27" ht="17">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7">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7">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7">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7">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7">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7">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7">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7">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7">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6">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4"/>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7">
      <c r="A2721" s="2714"/>
      <c r="B2721" s="371"/>
      <c r="C2721" s="371"/>
      <c r="D2721" s="371"/>
      <c r="E2721" s="586" t="s">
        <v>2749</v>
      </c>
      <c r="F2721" s="363"/>
      <c r="G2721" s="2228" t="s">
        <v>47</v>
      </c>
      <c r="H2721" s="548" t="s">
        <v>6036</v>
      </c>
      <c r="I2721" s="2282" t="s">
        <v>486</v>
      </c>
      <c r="J2721" s="2282" t="s">
        <v>3097</v>
      </c>
      <c r="K2721" s="417" t="s">
        <v>2863</v>
      </c>
      <c r="L2721" s="355" t="s">
        <v>5289</v>
      </c>
      <c r="M2721" s="291"/>
      <c r="N2721" s="291"/>
      <c r="O2721" s="291"/>
      <c r="S2721" s="364"/>
      <c r="Z2721" s="609" t="s">
        <v>1107</v>
      </c>
      <c r="AA2721" s="609" t="s">
        <v>3598</v>
      </c>
    </row>
    <row r="2722" spans="1:27" ht="17">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7">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7">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7">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7">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7">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7">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7">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7">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7">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6">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4"/>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6">
      <c r="A2735" s="2714"/>
      <c r="B2735" s="371"/>
      <c r="C2735" s="371"/>
      <c r="D2735" s="371"/>
      <c r="E2735" s="586" t="s">
        <v>2749</v>
      </c>
      <c r="F2735" s="363"/>
      <c r="G2735" s="2228" t="s">
        <v>47</v>
      </c>
      <c r="H2735" s="2285" t="s">
        <v>5149</v>
      </c>
      <c r="I2735" s="355" t="s">
        <v>5289</v>
      </c>
      <c r="J2735" s="472"/>
      <c r="K2735" s="472"/>
      <c r="L2735" s="472"/>
      <c r="M2735" s="442"/>
      <c r="N2735" s="442"/>
      <c r="O2735" s="442"/>
      <c r="P2735" s="442"/>
      <c r="Q2735" s="442"/>
      <c r="R2735" s="443"/>
      <c r="S2735" s="364"/>
      <c r="Z2735" s="609" t="s">
        <v>1107</v>
      </c>
      <c r="AA2735" s="609" t="s">
        <v>3598</v>
      </c>
    </row>
    <row r="2736" spans="1:27" ht="17">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7">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7">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7">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7">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7">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7">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7">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7">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7">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7">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6">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t="str">
        <f>IF($I2748="适用",IF(ROUND(N$2647-N2748,2)=0,"F/S",ROUND(N$2647-N2748,2)),"#N/A")</f>
        <v>F/S</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6">
      <c r="A2750" s="2714"/>
      <c r="B2750" s="371"/>
      <c r="C2750" s="371"/>
      <c r="D2750" s="2716"/>
      <c r="E2750" s="586" t="s">
        <v>2749</v>
      </c>
      <c r="F2750" s="414"/>
      <c r="G2750" s="2289" t="s">
        <v>47</v>
      </c>
      <c r="H2750" s="2291" t="s">
        <v>2863</v>
      </c>
      <c r="I2750" s="2293" t="s">
        <v>3635</v>
      </c>
      <c r="J2750" s="355" t="s">
        <v>5289</v>
      </c>
      <c r="K2750" s="434"/>
      <c r="L2750" s="434"/>
      <c r="M2750" s="435"/>
      <c r="N2750" s="434"/>
      <c r="O2750" s="434"/>
      <c r="P2750" s="435"/>
      <c r="Q2750" s="442"/>
      <c r="R2750" s="443"/>
      <c r="S2750" s="364"/>
      <c r="Z2750" s="609" t="s">
        <v>1107</v>
      </c>
      <c r="AA2750" s="609" t="s">
        <v>3598</v>
      </c>
    </row>
    <row r="2751" spans="1:27" ht="17">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7">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7">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7">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7">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7">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7">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7">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7">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6">
      <c r="A2761" s="2714" t="s">
        <v>1136</v>
      </c>
      <c r="B2761" s="371">
        <v>6</v>
      </c>
      <c r="C2761" s="371"/>
      <c r="D2761" s="2716" t="str">
        <f>VLOOKUP($A2761,Sheet_NoteList,2,0)</f>
        <v>未办妥产权证书的固定资产及其累计折旧明细项目</v>
      </c>
      <c r="E2761" s="2716" t="s">
        <v>6533</v>
      </c>
      <c r="F2761" s="294"/>
      <c r="G2761" s="372" t="str">
        <f>"("&amp;B2761&amp;")"&amp;D2761</f>
        <v>(6)未办妥产权证书的固定资产及其累计折旧明细项目</v>
      </c>
      <c r="H2761" s="1517" t="str">
        <f>$A2761</f>
        <v>1601f</v>
      </c>
      <c r="I2761" s="343" t="s">
        <v>5967</v>
      </c>
      <c r="J2761" s="301"/>
      <c r="K2761" s="3084"/>
      <c r="L2761" s="345"/>
      <c r="M2761" s="301"/>
      <c r="N2761" s="3084"/>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6">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6177</v>
      </c>
      <c r="S2763" s="364"/>
      <c r="Z2763" s="609" t="s">
        <v>1107</v>
      </c>
      <c r="AA2763" s="609" t="s">
        <v>3598</v>
      </c>
    </row>
    <row r="2764" spans="1:27" ht="17">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6049</v>
      </c>
      <c r="S2764" s="364"/>
      <c r="Z2764" s="609" t="s">
        <v>1107</v>
      </c>
      <c r="AA2764" s="609" t="s">
        <v>3598</v>
      </c>
    </row>
    <row r="2765" spans="1:27" ht="17">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7">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7">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7">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7">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7">
      <c r="A2771" s="2714" t="s">
        <v>1156</v>
      </c>
      <c r="B2771" s="371">
        <v>7</v>
      </c>
      <c r="C2771" s="371"/>
      <c r="D2771" s="2716" t="str">
        <f>VLOOKUP($A2771,Sheet_NoteList,2,0)</f>
        <v>固定资产抵押情况</v>
      </c>
      <c r="E2771" s="2716" t="s">
        <v>6533</v>
      </c>
      <c r="F2771" s="294"/>
      <c r="G2771" s="307" t="str">
        <f>"("&amp;B2771&amp;")"&amp;D2771</f>
        <v>(7)固定资产抵押情况</v>
      </c>
      <c r="H2771" s="1517" t="str">
        <f>$A2771</f>
        <v>1601s</v>
      </c>
      <c r="I2771" s="343" t="s">
        <v>5966</v>
      </c>
      <c r="J2771" s="301"/>
      <c r="K2771" s="3084"/>
      <c r="L2771" s="315"/>
      <c r="M2771" s="301"/>
      <c r="N2771" s="3084"/>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7">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6177</v>
      </c>
      <c r="S2773" s="364"/>
      <c r="Z2773" s="609" t="s">
        <v>1107</v>
      </c>
      <c r="AA2773" s="609" t="s">
        <v>3598</v>
      </c>
    </row>
    <row r="2774" spans="1:27" ht="17">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7">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7">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7">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7">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7">
      <c r="A2780" s="2714"/>
      <c r="B2780" s="371"/>
      <c r="C2780" s="371" t="s">
        <v>2755</v>
      </c>
      <c r="D2780" s="371"/>
      <c r="F2780" s="294"/>
      <c r="G2780" s="301"/>
      <c r="H2780" s="315"/>
      <c r="I2780" s="315"/>
      <c r="J2780" s="315"/>
      <c r="K2780" s="315"/>
      <c r="L2780" s="393"/>
      <c r="M2780" s="349"/>
      <c r="S2780" s="364"/>
      <c r="Z2780" s="609" t="s">
        <v>1107</v>
      </c>
      <c r="AA2780" s="609" t="s">
        <v>3598</v>
      </c>
    </row>
    <row r="2781" spans="1:27" ht="26">
      <c r="A2781" s="2714" t="s">
        <v>1162</v>
      </c>
      <c r="B2781" s="371">
        <v>8</v>
      </c>
      <c r="C2781" s="371"/>
      <c r="D2781" s="2716" t="str">
        <f>VLOOKUP($A2781,Sheet_NoteList,2,0)</f>
        <v>固定资产累计折旧补充资料</v>
      </c>
      <c r="E2781" s="2716" t="s">
        <v>6533</v>
      </c>
      <c r="F2781" s="294"/>
      <c r="G2781" s="372" t="str">
        <f>"("&amp;B2781&amp;")"&amp;D2781</f>
        <v>(8)固定资产累计折旧补充资料</v>
      </c>
      <c r="H2781" s="1517" t="str">
        <f>$A2781</f>
        <v>1601x</v>
      </c>
      <c r="I2781" s="343" t="s">
        <v>5967</v>
      </c>
      <c r="J2781" s="301" t="s">
        <v>5972</v>
      </c>
      <c r="K2781" s="2210">
        <f>H2794</f>
        <v>0</v>
      </c>
      <c r="L2781" s="345"/>
      <c r="M2781" s="301"/>
      <c r="N2781" s="3084"/>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7">
      <c r="A2783" s="2714"/>
      <c r="B2783" s="371"/>
      <c r="C2783" s="371"/>
      <c r="D2783" s="371"/>
      <c r="E2783" s="586" t="s">
        <v>2749</v>
      </c>
      <c r="F2783" s="363"/>
      <c r="G2783" s="2302" t="s">
        <v>47</v>
      </c>
      <c r="H2783" s="2300" t="s">
        <v>2887</v>
      </c>
      <c r="I2783" s="2301" t="s">
        <v>2508</v>
      </c>
      <c r="J2783" s="355" t="s">
        <v>6177</v>
      </c>
      <c r="K2783" s="291"/>
      <c r="L2783" s="291"/>
      <c r="S2783" s="364"/>
      <c r="Z2783" s="609" t="s">
        <v>1107</v>
      </c>
      <c r="AA2783" s="609" t="s">
        <v>3598</v>
      </c>
    </row>
    <row r="2784" spans="1:27" ht="17">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7">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7">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7">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7">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7">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7">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7">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7">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7">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7">
      <c r="A2795" s="2714"/>
      <c r="B2795" s="371"/>
      <c r="C2795" s="371" t="s">
        <v>2755</v>
      </c>
      <c r="D2795" s="371"/>
      <c r="F2795" s="294"/>
      <c r="G2795" s="301"/>
      <c r="H2795" s="315"/>
      <c r="I2795" s="393"/>
      <c r="J2795" s="291"/>
      <c r="K2795" s="291"/>
      <c r="L2795" s="291"/>
      <c r="S2795" s="364"/>
      <c r="Z2795" s="609" t="s">
        <v>1107</v>
      </c>
      <c r="AA2795" s="609" t="s">
        <v>3598</v>
      </c>
    </row>
    <row r="2796" spans="1:27" ht="17">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7">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26">
      <c r="A2799" s="2714"/>
      <c r="B2799" s="371"/>
      <c r="C2799" s="371"/>
      <c r="D2799" s="2716"/>
      <c r="E2799" s="2716" t="s">
        <v>2749</v>
      </c>
      <c r="F2799" s="293"/>
      <c r="G2799" s="373" t="s">
        <v>47</v>
      </c>
      <c r="H2799" s="1454" t="str">
        <f>$V$2</f>
        <v>2019年12月31日</v>
      </c>
      <c r="I2799" s="1455" t="str">
        <f>$V$3</f>
        <v>2018年12月31日</v>
      </c>
      <c r="J2799" s="355" t="s">
        <v>5289</v>
      </c>
      <c r="K2799" s="434"/>
      <c r="L2799" s="434"/>
      <c r="M2799" s="435"/>
      <c r="N2799" s="434"/>
      <c r="O2799" s="434"/>
      <c r="P2799" s="435"/>
      <c r="Q2799" s="442"/>
      <c r="R2799" s="443"/>
      <c r="S2799" s="364"/>
      <c r="Z2799" s="609" t="s">
        <v>1167</v>
      </c>
      <c r="AA2799" s="609" t="s">
        <v>3636</v>
      </c>
    </row>
    <row r="2800" spans="1:27" ht="17">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7">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7">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7">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7">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7">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7">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7">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6575</v>
      </c>
    </row>
    <row r="2809" spans="1:29" ht="17">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7">
      <c r="A2810" s="2714" t="s">
        <v>1170</v>
      </c>
      <c r="B2810" s="371">
        <v>2</v>
      </c>
      <c r="C2810" s="371"/>
      <c r="D2810" s="2716" t="str">
        <f>VLOOKUP($A2810,Sheet_NoteList,2,0)</f>
        <v>固定资产清理补充资料</v>
      </c>
      <c r="E2810" s="2716" t="s">
        <v>6533</v>
      </c>
      <c r="F2810" s="294"/>
      <c r="G2810" s="372" t="str">
        <f>"("&amp;B2810&amp;")"&amp;D2810</f>
        <v>(2)固定资产清理补充资料</v>
      </c>
      <c r="H2810" s="1517" t="str">
        <f>$A2810</f>
        <v>1606a</v>
      </c>
      <c r="I2810" s="343" t="s">
        <v>5967</v>
      </c>
      <c r="J2810" s="301" t="s">
        <v>5974</v>
      </c>
      <c r="K2810" s="2210">
        <f>H2818</f>
        <v>0</v>
      </c>
      <c r="L2810" s="345" t="str">
        <f>IF($I2810="适用",IF(ROUND(K2796-K2810,2)=0,"F/S",ROUND(K2796-K2810,2)),"#N/A")</f>
        <v>F/S</v>
      </c>
      <c r="M2810" s="301" t="s">
        <v>5968</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6235</v>
      </c>
      <c r="I2811" s="371" t="s">
        <v>6236</v>
      </c>
      <c r="J2811" s="371" t="s">
        <v>6237</v>
      </c>
      <c r="K2811" s="371" t="s">
        <v>6238</v>
      </c>
      <c r="L2811" s="371" t="s">
        <v>6239</v>
      </c>
      <c r="M2811" s="291"/>
      <c r="N2811" s="291"/>
      <c r="S2811" s="364"/>
      <c r="Z2811" s="609" t="s">
        <v>1167</v>
      </c>
      <c r="AA2811" s="609" t="s">
        <v>3636</v>
      </c>
    </row>
    <row r="2812" spans="1:29" ht="26">
      <c r="A2812" s="2714"/>
      <c r="B2812" s="371"/>
      <c r="C2812" s="371"/>
      <c r="D2812" s="371"/>
      <c r="E2812" s="586" t="s">
        <v>2749</v>
      </c>
      <c r="F2812" s="363"/>
      <c r="G2812" s="2358" t="s">
        <v>47</v>
      </c>
      <c r="H2812" s="2352" t="s">
        <v>2775</v>
      </c>
      <c r="I2812" s="2352" t="s">
        <v>2776</v>
      </c>
      <c r="J2812" s="2352" t="s">
        <v>3639</v>
      </c>
      <c r="K2812" s="2352" t="s">
        <v>6050</v>
      </c>
      <c r="L2812" s="2351" t="s">
        <v>6051</v>
      </c>
      <c r="M2812" s="355" t="s">
        <v>6177</v>
      </c>
      <c r="N2812" s="291"/>
      <c r="S2812" s="364"/>
      <c r="Z2812" s="609" t="s">
        <v>1167</v>
      </c>
      <c r="AA2812" s="609" t="s">
        <v>3636</v>
      </c>
    </row>
    <row r="2813" spans="1:29" ht="17">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7">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7">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7">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7">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7">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7">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26.5" thickTop="1">
      <c r="A2823" s="2714"/>
      <c r="B2823" s="371"/>
      <c r="C2823" s="371"/>
      <c r="D2823" s="2716"/>
      <c r="E2823" s="2716" t="s">
        <v>2749</v>
      </c>
      <c r="F2823" s="371"/>
      <c r="G2823" s="373" t="s">
        <v>47</v>
      </c>
      <c r="H2823" s="1454" t="str">
        <f>$V$2</f>
        <v>2019年12月31日</v>
      </c>
      <c r="I2823" s="1455" t="str">
        <f>$V$3</f>
        <v>2018年12月31日</v>
      </c>
      <c r="J2823" s="355" t="s">
        <v>5290</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7">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7">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7">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7">
      <c r="A2828" s="2714"/>
      <c r="B2828" s="371"/>
      <c r="C2828" s="371" t="s">
        <v>2755</v>
      </c>
      <c r="D2828" s="2716"/>
      <c r="F2828" s="371"/>
      <c r="G2828" s="376"/>
      <c r="H2828" s="315"/>
      <c r="I2828" s="396"/>
      <c r="J2828" s="301"/>
      <c r="K2828" s="1539" t="s">
        <v>5496</v>
      </c>
      <c r="L2828" s="317"/>
      <c r="M2828" s="354"/>
      <c r="N2828" s="391"/>
      <c r="O2828" s="349"/>
      <c r="P2828" s="301"/>
      <c r="S2828" s="364"/>
      <c r="Z2828" s="609" t="s">
        <v>1176</v>
      </c>
      <c r="AA2828" s="609" t="s">
        <v>19</v>
      </c>
    </row>
    <row r="2829" spans="1:27" ht="17">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7">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7">
      <c r="A2833" s="2714"/>
      <c r="B2833" s="371"/>
      <c r="C2833" s="371"/>
      <c r="D2833" s="371"/>
      <c r="E2833" s="586" t="s">
        <v>2749</v>
      </c>
      <c r="F2833" s="363"/>
      <c r="G2833" s="3170" t="s">
        <v>47</v>
      </c>
      <c r="H2833" s="3308" t="str">
        <f>$V$2</f>
        <v>2019年12月31日</v>
      </c>
      <c r="I2833" s="3308"/>
      <c r="J2833" s="3308"/>
      <c r="K2833" s="3308" t="str">
        <f>$V$3</f>
        <v>2018年12月31日</v>
      </c>
      <c r="L2833" s="3308"/>
      <c r="M2833" s="3309"/>
      <c r="N2833" s="355" t="s">
        <v>5290</v>
      </c>
      <c r="O2833" s="291"/>
      <c r="P2833" s="291"/>
      <c r="Q2833" s="367"/>
      <c r="R2833" s="367"/>
      <c r="S2833" s="364"/>
      <c r="Z2833" s="609" t="s">
        <v>1181</v>
      </c>
      <c r="AA2833" s="609" t="s">
        <v>3646</v>
      </c>
    </row>
    <row r="2834" spans="1:29" ht="17">
      <c r="A2834" s="2714"/>
      <c r="B2834" s="371"/>
      <c r="C2834" s="371"/>
      <c r="D2834" s="371"/>
      <c r="E2834" s="586" t="s">
        <v>2749</v>
      </c>
      <c r="F2834" s="363"/>
      <c r="G2834" s="3171"/>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7">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7">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7">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7">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7">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7">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7">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7">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7">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7">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6575</v>
      </c>
    </row>
    <row r="2846" spans="1:29" ht="17">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7">
      <c r="A2847" s="2714" t="s">
        <v>1190</v>
      </c>
      <c r="B2847" s="371">
        <v>2</v>
      </c>
      <c r="C2847" s="371"/>
      <c r="D2847" s="2716" t="str">
        <f>VLOOKUP($A2847,Sheet_NoteList,2,0)</f>
        <v>重要在建工程项目变动情况列示</v>
      </c>
      <c r="E2847" s="2716" t="s">
        <v>6533</v>
      </c>
      <c r="F2847" s="294"/>
      <c r="G2847" s="307" t="str">
        <f>"("&amp;B2847&amp;")"&amp;D2847</f>
        <v>(2)重要在建工程项目变动情况列示</v>
      </c>
      <c r="H2847" s="1517" t="str">
        <f>$A2847</f>
        <v>1604b</v>
      </c>
      <c r="I2847" s="343" t="s">
        <v>5966</v>
      </c>
      <c r="J2847" s="301" t="s">
        <v>2744</v>
      </c>
      <c r="K2847" s="3085">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6">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5290</v>
      </c>
      <c r="O2849" s="1604"/>
      <c r="P2849" s="1604"/>
      <c r="Q2849" s="1604"/>
      <c r="R2849" s="1604"/>
      <c r="S2849" s="364"/>
      <c r="Z2849" s="609" t="s">
        <v>1181</v>
      </c>
      <c r="AA2849" s="609" t="s">
        <v>3646</v>
      </c>
    </row>
    <row r="2850" spans="1:27" ht="17">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7">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7">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7">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7">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7">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7">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7">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7">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7">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7">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6">
      <c r="A2862" s="2714" t="s">
        <v>1193</v>
      </c>
      <c r="B2862" s="371">
        <v>2</v>
      </c>
      <c r="C2862" s="371"/>
      <c r="D2862" s="2716" t="str">
        <f>VLOOKUP($A2862,Sheet_NoteList,2,0)</f>
        <v>重要在建工程项目变动情况列示（续）</v>
      </c>
      <c r="E2862" s="2716" t="s">
        <v>6533</v>
      </c>
      <c r="F2862" s="294"/>
      <c r="G2862" s="372" t="str">
        <f>"("&amp;B2862&amp;")"&amp;D2862</f>
        <v>(2)重要在建工程项目变动情况列示（续）</v>
      </c>
      <c r="H2862" s="1517" t="str">
        <f>$A2862</f>
        <v>1604c</v>
      </c>
      <c r="I2862" s="343" t="s">
        <v>5967</v>
      </c>
      <c r="J2862" s="301"/>
      <c r="K2862" s="391"/>
      <c r="L2862" s="1535" t="str">
        <f>IF($I2862="适用",IF(ROUND(H2845-K2862,2)&gt;=0,IF(H2845&lt;&gt;0,K2862/H2845,""),"#Logical!"),"#N/A")</f>
        <v/>
      </c>
      <c r="M2862" s="301"/>
      <c r="N2862" s="3086"/>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5290</v>
      </c>
      <c r="O2864" s="291"/>
      <c r="P2864" s="343"/>
      <c r="Q2864" s="367"/>
      <c r="R2864" s="367"/>
      <c r="S2864" s="364"/>
      <c r="Z2864" s="609" t="s">
        <v>1181</v>
      </c>
      <c r="AA2864" s="609" t="s">
        <v>3646</v>
      </c>
    </row>
    <row r="2865" spans="1:27" ht="17">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6052</v>
      </c>
      <c r="O2865" s="291"/>
      <c r="Q2865" s="367"/>
      <c r="R2865" s="367"/>
      <c r="S2865" s="364"/>
      <c r="Z2865" s="609" t="s">
        <v>1181</v>
      </c>
      <c r="AA2865" s="609" t="s">
        <v>3646</v>
      </c>
    </row>
    <row r="2866" spans="1:27" ht="17">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7">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7">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7">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7">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7">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7">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7">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7">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7">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6">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26">
      <c r="A2879" s="2714"/>
      <c r="B2879" s="371"/>
      <c r="C2879" s="371"/>
      <c r="D2879" s="2716"/>
      <c r="E2879" s="586" t="s">
        <v>2749</v>
      </c>
      <c r="F2879" s="414"/>
      <c r="G2879" s="2349" t="s">
        <v>47</v>
      </c>
      <c r="H2879" s="2232" t="str">
        <f>$V$2</f>
        <v>2019年12月31日</v>
      </c>
      <c r="I2879" s="2232" t="str">
        <f>$V$3</f>
        <v>2018年12月31日</v>
      </c>
      <c r="J2879" s="2356" t="s">
        <v>3672</v>
      </c>
      <c r="K2879" s="355" t="s">
        <v>5290</v>
      </c>
      <c r="L2879" s="434"/>
      <c r="M2879" s="435"/>
      <c r="N2879" s="434"/>
      <c r="O2879" s="434"/>
      <c r="P2879" s="435"/>
      <c r="Q2879" s="442"/>
      <c r="R2879" s="443"/>
      <c r="S2879" s="364"/>
      <c r="Z2879" s="609" t="s">
        <v>1181</v>
      </c>
      <c r="AA2879" s="609" t="s">
        <v>3646</v>
      </c>
    </row>
    <row r="2880" spans="1:27" ht="17">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7">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7">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7">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7">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7">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7">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7">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7.5" thickTop="1">
      <c r="A2890" s="2714"/>
      <c r="B2890" s="371"/>
      <c r="C2890" s="371" t="s">
        <v>2565</v>
      </c>
      <c r="D2890" s="2716"/>
      <c r="F2890" s="293"/>
      <c r="G2890" s="1549" t="s">
        <v>5368</v>
      </c>
      <c r="H2890" s="1550" t="str">
        <f>G2830</f>
        <v>(1)在建工程情况</v>
      </c>
      <c r="I2890" s="1552"/>
      <c r="J2890" s="1551"/>
      <c r="K2890" s="1553" t="s">
        <v>5369</v>
      </c>
      <c r="L2890" s="427"/>
      <c r="M2890" s="425"/>
      <c r="N2890" s="426"/>
      <c r="O2890" s="427"/>
      <c r="P2890" s="425"/>
      <c r="Q2890" s="442"/>
      <c r="R2890" s="442"/>
      <c r="S2890" s="364"/>
      <c r="Z2890" s="609" t="s">
        <v>1181</v>
      </c>
      <c r="AA2890" s="609" t="s">
        <v>3646</v>
      </c>
    </row>
    <row r="2891" spans="1:29" ht="17">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7">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7">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7">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6" hidden="1">
      <c r="A2897" s="2714" t="s">
        <v>1196</v>
      </c>
      <c r="B2897" s="371">
        <v>3</v>
      </c>
      <c r="C2897" s="371"/>
      <c r="D2897" s="2716" t="str">
        <f>VLOOKUP($A2897,Sheet_NoteList,2,0)</f>
        <v>本期在建工程项目计提减值准备情况</v>
      </c>
      <c r="E2897" s="2716" t="s">
        <v>6610</v>
      </c>
      <c r="F2897" s="294"/>
      <c r="G2897" s="372" t="str">
        <f>"("&amp;B2897&amp;")"&amp;D2897</f>
        <v>(3)本期在建工程项目计提减值准备情况</v>
      </c>
      <c r="H2897" s="1517" t="str">
        <f>$A2897</f>
        <v>1604d</v>
      </c>
      <c r="I2897" s="343" t="s">
        <v>6618</v>
      </c>
      <c r="J2897" s="301" t="s">
        <v>6616</v>
      </c>
      <c r="K2897" s="2210">
        <f>H2905</f>
        <v>0</v>
      </c>
      <c r="L2897" s="345"/>
      <c r="M2897" s="301" t="s">
        <v>6617</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7" hidden="1">
      <c r="A2899" s="2714"/>
      <c r="B2899" s="371"/>
      <c r="C2899" s="371"/>
      <c r="D2899" s="371"/>
      <c r="E2899" s="586" t="s">
        <v>2749</v>
      </c>
      <c r="F2899" s="363"/>
      <c r="G2899" s="2230" t="s">
        <v>47</v>
      </c>
      <c r="H2899" s="2355" t="s">
        <v>6053</v>
      </c>
      <c r="I2899" s="2359" t="s">
        <v>3672</v>
      </c>
      <c r="J2899" s="424" t="s">
        <v>5991</v>
      </c>
      <c r="K2899" s="291"/>
      <c r="L2899" s="291"/>
      <c r="M2899" s="291"/>
      <c r="N2899" s="291"/>
      <c r="O2899" s="291"/>
      <c r="P2899" s="291"/>
      <c r="Q2899" s="367"/>
      <c r="R2899" s="367"/>
      <c r="S2899" s="364"/>
      <c r="Z2899" s="609" t="s">
        <v>1181</v>
      </c>
      <c r="AA2899" s="609" t="s">
        <v>3646</v>
      </c>
      <c r="AE2899" s="369" t="s">
        <v>2761</v>
      </c>
    </row>
    <row r="2900" spans="1:34" ht="17"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7"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7"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7"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7"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7"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7">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5664</v>
      </c>
    </row>
    <row r="2908" spans="1:34" ht="17">
      <c r="A2908" s="2714" t="s">
        <v>6567</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5664</v>
      </c>
    </row>
    <row r="2909" spans="1:34" s="289" customFormat="1" ht="0.75" customHeight="1">
      <c r="A2909" s="2714"/>
      <c r="B2909" s="371"/>
      <c r="C2909" s="371"/>
      <c r="D2909" s="2716"/>
      <c r="E2909" s="2716"/>
      <c r="F2909" s="371"/>
      <c r="G2909" s="405" t="s">
        <v>6240</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5664</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5664</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24" t="s">
        <v>47</v>
      </c>
      <c r="H2911" s="3239" t="str">
        <f>$V$2</f>
        <v>2019年12月31日</v>
      </c>
      <c r="I2911" s="3273"/>
      <c r="J2911" s="3240"/>
      <c r="K2911" s="3310" t="str">
        <f>$V$3</f>
        <v>2018年12月31日</v>
      </c>
      <c r="L2911" s="3311"/>
      <c r="M2911" s="3311"/>
      <c r="N2911" s="355" t="s">
        <v>5290</v>
      </c>
      <c r="O2911" s="349"/>
      <c r="P2911" s="368"/>
      <c r="Q2911" s="582"/>
      <c r="R2911" s="582"/>
      <c r="S2911" s="564"/>
      <c r="T2911" s="292"/>
      <c r="U2911" s="292"/>
      <c r="V2911" s="292"/>
      <c r="W2911" s="292"/>
      <c r="X2911" s="292"/>
      <c r="Y2911" s="292"/>
      <c r="Z2911" s="609" t="s">
        <v>1200</v>
      </c>
      <c r="AA2911" s="609" t="s">
        <v>5664</v>
      </c>
      <c r="AB2911" s="369"/>
      <c r="AC2911" s="369"/>
      <c r="AD2911" s="369"/>
      <c r="AE2911" s="369"/>
      <c r="AF2911" s="292"/>
      <c r="AG2911" s="292"/>
      <c r="AH2911" s="292"/>
    </row>
    <row r="2912" spans="1:34" ht="17">
      <c r="A2912" s="2714"/>
      <c r="B2912" s="371"/>
      <c r="C2912" s="371"/>
      <c r="D2912" s="2716"/>
      <c r="E2912" s="2716" t="s">
        <v>2749</v>
      </c>
      <c r="F2912" s="371"/>
      <c r="G2912" s="3225"/>
      <c r="H2912" s="408" t="s">
        <v>2861</v>
      </c>
      <c r="I2912" s="408" t="s">
        <v>3097</v>
      </c>
      <c r="J2912" s="408" t="s">
        <v>2863</v>
      </c>
      <c r="K2912" s="419" t="s">
        <v>2861</v>
      </c>
      <c r="L2912" s="419" t="s">
        <v>3097</v>
      </c>
      <c r="M2912" s="421" t="s">
        <v>2863</v>
      </c>
      <c r="N2912" s="391"/>
      <c r="O2912" s="349"/>
      <c r="P2912" s="301"/>
      <c r="S2912" s="364"/>
      <c r="Z2912" s="609" t="s">
        <v>1200</v>
      </c>
      <c r="AA2912" s="609" t="s">
        <v>5664</v>
      </c>
    </row>
    <row r="2913" spans="1:29" ht="17">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5664</v>
      </c>
    </row>
    <row r="2914" spans="1:29" ht="17">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5664</v>
      </c>
    </row>
    <row r="2915" spans="1:29" ht="17">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5664</v>
      </c>
    </row>
    <row r="2916" spans="1:29" ht="17">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5664</v>
      </c>
    </row>
    <row r="2917" spans="1:29" ht="1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5664</v>
      </c>
      <c r="AC2917" s="369" t="s">
        <v>6575</v>
      </c>
    </row>
    <row r="2918" spans="1:29" ht="17">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5664</v>
      </c>
    </row>
    <row r="2919" spans="1:29" ht="17">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5665</v>
      </c>
    </row>
    <row r="2920" spans="1:29" ht="26">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5665</v>
      </c>
    </row>
    <row r="2921" spans="1:29" ht="0.75" customHeight="1">
      <c r="A2921" s="2714"/>
      <c r="B2921" s="371"/>
      <c r="C2921" s="371"/>
      <c r="D2921" s="371"/>
      <c r="F2921" s="371"/>
      <c r="G2921" s="371" t="s">
        <v>3676</v>
      </c>
      <c r="H2921" s="371" t="s">
        <v>6241</v>
      </c>
      <c r="I2921" s="371" t="s">
        <v>6242</v>
      </c>
      <c r="J2921" s="371" t="s">
        <v>6243</v>
      </c>
      <c r="K2921" s="371" t="s">
        <v>6244</v>
      </c>
      <c r="L2921" s="371" t="s">
        <v>6245</v>
      </c>
      <c r="M2921" s="371" t="s">
        <v>6246</v>
      </c>
      <c r="N2921" s="371" t="s">
        <v>6247</v>
      </c>
      <c r="O2921" s="371" t="s">
        <v>6248</v>
      </c>
      <c r="P2921" s="291"/>
      <c r="S2921" s="364"/>
      <c r="Z2921" s="609" t="s">
        <v>1206</v>
      </c>
      <c r="AA2921" s="609" t="s">
        <v>5665</v>
      </c>
    </row>
    <row r="2922" spans="1:29" ht="0.75" customHeight="1" thickBot="1">
      <c r="A2922" s="2714"/>
      <c r="B2922" s="371"/>
      <c r="C2922" s="371"/>
      <c r="D2922" s="371"/>
      <c r="F2922" s="371"/>
      <c r="G2922" s="371"/>
      <c r="H2922" s="371" t="s">
        <v>6249</v>
      </c>
      <c r="I2922" s="371" t="s">
        <v>6250</v>
      </c>
      <c r="J2922" s="371" t="s">
        <v>6251</v>
      </c>
      <c r="K2922" s="371" t="s">
        <v>6252</v>
      </c>
      <c r="L2922" s="371" t="s">
        <v>6253</v>
      </c>
      <c r="M2922" s="371" t="s">
        <v>6254</v>
      </c>
      <c r="N2922" s="371" t="s">
        <v>6255</v>
      </c>
      <c r="O2922" s="371" t="s">
        <v>6256</v>
      </c>
      <c r="P2922" s="291"/>
      <c r="S2922" s="364"/>
      <c r="Z2922" s="609" t="s">
        <v>1206</v>
      </c>
      <c r="AA2922" s="609" t="s">
        <v>5665</v>
      </c>
    </row>
    <row r="2923" spans="1:29" ht="23.25" customHeight="1">
      <c r="A2923" s="2714"/>
      <c r="B2923" s="371"/>
      <c r="C2923" s="371"/>
      <c r="D2923" s="371"/>
      <c r="E2923" s="2716" t="s">
        <v>2749</v>
      </c>
      <c r="F2923" s="294"/>
      <c r="G2923" s="3210" t="s">
        <v>47</v>
      </c>
      <c r="H2923" s="3218" t="s">
        <v>3574</v>
      </c>
      <c r="I2923" s="3218" t="s">
        <v>3558</v>
      </c>
      <c r="J2923" s="3218"/>
      <c r="K2923" s="3218"/>
      <c r="L2923" s="3218"/>
      <c r="M2923" s="3218" t="s">
        <v>3560</v>
      </c>
      <c r="N2923" s="3218"/>
      <c r="O2923" s="3282" t="s">
        <v>3575</v>
      </c>
      <c r="P2923" s="355" t="s">
        <v>5291</v>
      </c>
      <c r="S2923" s="364"/>
      <c r="Z2923" s="609" t="s">
        <v>1206</v>
      </c>
      <c r="AA2923" s="609" t="s">
        <v>5665</v>
      </c>
    </row>
    <row r="2924" spans="1:29" ht="17">
      <c r="A2924" s="2714"/>
      <c r="B2924" s="371"/>
      <c r="C2924" s="371"/>
      <c r="D2924" s="371"/>
      <c r="E2924" s="2716" t="s">
        <v>2749</v>
      </c>
      <c r="F2924" s="294"/>
      <c r="G2924" s="3211"/>
      <c r="H2924" s="3307"/>
      <c r="I2924" s="2370" t="s">
        <v>3546</v>
      </c>
      <c r="J2924" s="2370" t="s">
        <v>3678</v>
      </c>
      <c r="K2924" s="2371" t="s">
        <v>5164</v>
      </c>
      <c r="L2924" s="2371" t="s">
        <v>5163</v>
      </c>
      <c r="M2924" s="2372" t="s">
        <v>3561</v>
      </c>
      <c r="N2924" s="2370" t="s">
        <v>3679</v>
      </c>
      <c r="O2924" s="3283"/>
      <c r="P2924" s="291"/>
      <c r="S2924" s="364"/>
      <c r="Z2924" s="609" t="s">
        <v>1206</v>
      </c>
      <c r="AA2924" s="609" t="s">
        <v>5665</v>
      </c>
    </row>
    <row r="2925" spans="1:29" ht="17">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5665</v>
      </c>
    </row>
    <row r="2926" spans="1:29" ht="17">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5665</v>
      </c>
    </row>
    <row r="2927" spans="1:29" ht="26">
      <c r="A2927" s="2714"/>
      <c r="B2927" s="371">
        <v>102.001</v>
      </c>
      <c r="C2927" s="371" t="s">
        <v>2791</v>
      </c>
      <c r="D2927" s="2716">
        <f t="shared" si="324"/>
        <v>1</v>
      </c>
      <c r="E2927" s="2721" t="s">
        <v>5159</v>
      </c>
      <c r="F2927" s="294"/>
      <c r="G2927" s="1486" t="s">
        <v>5193</v>
      </c>
      <c r="H2927" s="309"/>
      <c r="I2927" s="309"/>
      <c r="J2927" s="309"/>
      <c r="K2927" s="1465">
        <v>0</v>
      </c>
      <c r="L2927" s="309"/>
      <c r="M2927" s="309"/>
      <c r="N2927" s="309"/>
      <c r="O2927" s="1477">
        <f>SUM(H2927:L2927,-M2927,-N2927)</f>
        <v>0</v>
      </c>
      <c r="P2927" s="292"/>
      <c r="S2927" s="364"/>
      <c r="Z2927" s="609" t="s">
        <v>1206</v>
      </c>
      <c r="AA2927" s="609" t="s">
        <v>5665</v>
      </c>
    </row>
    <row r="2928" spans="1:29" ht="26">
      <c r="A2928" s="2714"/>
      <c r="B2928" s="371">
        <v>102.002</v>
      </c>
      <c r="C2928" s="371" t="s">
        <v>2791</v>
      </c>
      <c r="D2928" s="2716">
        <f t="shared" si="324"/>
        <v>1</v>
      </c>
      <c r="E2928" s="2721" t="s">
        <v>5159</v>
      </c>
      <c r="F2928" s="294"/>
      <c r="G2928" s="1486" t="s">
        <v>5194</v>
      </c>
      <c r="H2928" s="309"/>
      <c r="I2928" s="309"/>
      <c r="J2928" s="309"/>
      <c r="K2928" s="1465">
        <v>0</v>
      </c>
      <c r="L2928" s="309"/>
      <c r="M2928" s="309"/>
      <c r="N2928" s="309"/>
      <c r="O2928" s="1477">
        <f>SUM(H2928:L2928,-M2928,-N2928)</f>
        <v>0</v>
      </c>
      <c r="P2928" s="292"/>
      <c r="S2928" s="364"/>
      <c r="Z2928" s="609" t="s">
        <v>1206</v>
      </c>
      <c r="AA2928" s="609" t="s">
        <v>5665</v>
      </c>
    </row>
    <row r="2929" spans="1:27" ht="17">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5665</v>
      </c>
    </row>
    <row r="2930" spans="1:27" ht="26">
      <c r="A2930" s="2714"/>
      <c r="B2930" s="371">
        <v>103.001</v>
      </c>
      <c r="C2930" s="371" t="s">
        <v>2791</v>
      </c>
      <c r="D2930" s="2716">
        <f t="shared" si="324"/>
        <v>1</v>
      </c>
      <c r="E2930" s="2721" t="s">
        <v>5159</v>
      </c>
      <c r="F2930" s="294"/>
      <c r="G2930" s="1486" t="s">
        <v>5195</v>
      </c>
      <c r="H2930" s="309"/>
      <c r="I2930" s="309"/>
      <c r="J2930" s="309"/>
      <c r="K2930" s="1465">
        <v>0</v>
      </c>
      <c r="L2930" s="309"/>
      <c r="M2930" s="309"/>
      <c r="N2930" s="309"/>
      <c r="O2930" s="1477">
        <f>SUM(H2930:L2930,-M2930,-N2930)</f>
        <v>0</v>
      </c>
      <c r="P2930" s="292"/>
      <c r="S2930" s="364"/>
      <c r="Z2930" s="609" t="s">
        <v>1206</v>
      </c>
      <c r="AA2930" s="609" t="s">
        <v>5665</v>
      </c>
    </row>
    <row r="2931" spans="1:27" ht="26">
      <c r="A2931" s="2714"/>
      <c r="B2931" s="371">
        <v>103.002</v>
      </c>
      <c r="C2931" s="371" t="s">
        <v>2791</v>
      </c>
      <c r="D2931" s="2716">
        <f t="shared" si="324"/>
        <v>1</v>
      </c>
      <c r="E2931" s="2721" t="s">
        <v>5159</v>
      </c>
      <c r="F2931" s="294"/>
      <c r="G2931" s="1486" t="s">
        <v>5196</v>
      </c>
      <c r="H2931" s="309"/>
      <c r="I2931" s="309"/>
      <c r="J2931" s="309"/>
      <c r="K2931" s="1465">
        <v>0</v>
      </c>
      <c r="L2931" s="309"/>
      <c r="M2931" s="309"/>
      <c r="N2931" s="309"/>
      <c r="O2931" s="1477">
        <f>SUM(H2931:L2931,-M2931,-N2931)</f>
        <v>0</v>
      </c>
      <c r="P2931" s="292"/>
      <c r="S2931" s="364"/>
      <c r="Z2931" s="609" t="s">
        <v>1206</v>
      </c>
      <c r="AA2931" s="609" t="s">
        <v>5665</v>
      </c>
    </row>
    <row r="2932" spans="1:27" ht="17">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5665</v>
      </c>
    </row>
    <row r="2933" spans="1:27" ht="26">
      <c r="A2933" s="2714"/>
      <c r="B2933" s="371">
        <v>104.001</v>
      </c>
      <c r="C2933" s="371" t="s">
        <v>2791</v>
      </c>
      <c r="D2933" s="2716">
        <f t="shared" si="324"/>
        <v>1</v>
      </c>
      <c r="E2933" s="2721" t="s">
        <v>5159</v>
      </c>
      <c r="F2933" s="294"/>
      <c r="G2933" s="1486" t="s">
        <v>5197</v>
      </c>
      <c r="H2933" s="309"/>
      <c r="I2933" s="309"/>
      <c r="J2933" s="309"/>
      <c r="K2933" s="1465">
        <v>0</v>
      </c>
      <c r="L2933" s="309"/>
      <c r="M2933" s="309"/>
      <c r="N2933" s="309"/>
      <c r="O2933" s="1477">
        <f>SUM(H2933:L2933,-M2933,-N2933)</f>
        <v>0</v>
      </c>
      <c r="P2933" s="292"/>
      <c r="S2933" s="364"/>
      <c r="Z2933" s="609" t="s">
        <v>1206</v>
      </c>
      <c r="AA2933" s="609" t="s">
        <v>5665</v>
      </c>
    </row>
    <row r="2934" spans="1:27" ht="26">
      <c r="A2934" s="2714"/>
      <c r="B2934" s="371">
        <v>104.002</v>
      </c>
      <c r="C2934" s="371" t="s">
        <v>2791</v>
      </c>
      <c r="D2934" s="2716">
        <f t="shared" si="324"/>
        <v>1</v>
      </c>
      <c r="E2934" s="2721" t="s">
        <v>5159</v>
      </c>
      <c r="F2934" s="294"/>
      <c r="G2934" s="1486" t="s">
        <v>5198</v>
      </c>
      <c r="H2934" s="309"/>
      <c r="I2934" s="309"/>
      <c r="J2934" s="309"/>
      <c r="K2934" s="1465">
        <v>0</v>
      </c>
      <c r="L2934" s="309"/>
      <c r="M2934" s="309"/>
      <c r="N2934" s="309"/>
      <c r="O2934" s="1477">
        <f>SUM(H2934:L2934,-M2934,-N2934)</f>
        <v>0</v>
      </c>
      <c r="P2934" s="292"/>
      <c r="S2934" s="364"/>
      <c r="Z2934" s="609" t="s">
        <v>1206</v>
      </c>
      <c r="AA2934" s="609" t="s">
        <v>5665</v>
      </c>
    </row>
    <row r="2935" spans="1:27" ht="17">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5665</v>
      </c>
    </row>
    <row r="2936" spans="1:27" ht="26">
      <c r="A2936" s="2714"/>
      <c r="B2936" s="371">
        <v>105.001</v>
      </c>
      <c r="C2936" s="371" t="s">
        <v>2791</v>
      </c>
      <c r="D2936" s="2716">
        <f t="shared" si="324"/>
        <v>1</v>
      </c>
      <c r="E2936" s="2721" t="s">
        <v>5159</v>
      </c>
      <c r="F2936" s="294"/>
      <c r="G2936" s="1486" t="s">
        <v>5199</v>
      </c>
      <c r="H2936" s="309"/>
      <c r="I2936" s="309"/>
      <c r="J2936" s="309"/>
      <c r="K2936" s="1465">
        <v>0</v>
      </c>
      <c r="L2936" s="309"/>
      <c r="M2936" s="309"/>
      <c r="N2936" s="309"/>
      <c r="O2936" s="1477">
        <f>SUM(H2936:L2936,-M2936,-N2936)</f>
        <v>0</v>
      </c>
      <c r="P2936" s="292"/>
      <c r="S2936" s="364"/>
      <c r="Z2936" s="609" t="s">
        <v>1206</v>
      </c>
      <c r="AA2936" s="609" t="s">
        <v>5665</v>
      </c>
    </row>
    <row r="2937" spans="1:27" ht="26">
      <c r="A2937" s="2714"/>
      <c r="B2937" s="371">
        <v>105.002</v>
      </c>
      <c r="C2937" s="371" t="s">
        <v>2791</v>
      </c>
      <c r="D2937" s="2716">
        <f t="shared" si="324"/>
        <v>1</v>
      </c>
      <c r="E2937" s="2721" t="s">
        <v>5159</v>
      </c>
      <c r="F2937" s="294"/>
      <c r="G2937" s="1486" t="s">
        <v>5200</v>
      </c>
      <c r="H2937" s="309"/>
      <c r="I2937" s="309"/>
      <c r="J2937" s="309"/>
      <c r="K2937" s="1465">
        <v>0</v>
      </c>
      <c r="L2937" s="309"/>
      <c r="M2937" s="309"/>
      <c r="N2937" s="309"/>
      <c r="O2937" s="1477">
        <f>SUM(H2937:L2937,-M2937,-N2937)</f>
        <v>0</v>
      </c>
      <c r="P2937" s="292"/>
      <c r="S2937" s="364"/>
      <c r="Z2937" s="609" t="s">
        <v>1206</v>
      </c>
      <c r="AA2937" s="609" t="s">
        <v>5665</v>
      </c>
    </row>
    <row r="2938" spans="1:27" ht="17">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5665</v>
      </c>
    </row>
    <row r="2939" spans="1:27" ht="17">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5665</v>
      </c>
    </row>
    <row r="2940" spans="1:27" ht="17">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5665</v>
      </c>
    </row>
    <row r="2941" spans="1:27" ht="26">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5665</v>
      </c>
    </row>
    <row r="2942" spans="1:27" ht="26">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5665</v>
      </c>
    </row>
    <row r="2943" spans="1:27" ht="17">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5665</v>
      </c>
    </row>
    <row r="2944" spans="1:27" ht="26">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5665</v>
      </c>
    </row>
    <row r="2945" spans="1:27" ht="26">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5665</v>
      </c>
    </row>
    <row r="2946" spans="1:27" ht="17">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5665</v>
      </c>
    </row>
    <row r="2947" spans="1:27" ht="26">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5665</v>
      </c>
    </row>
    <row r="2948" spans="1:27" ht="26">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5665</v>
      </c>
    </row>
    <row r="2949" spans="1:27" ht="17">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5665</v>
      </c>
    </row>
    <row r="2950" spans="1:27" ht="26">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5665</v>
      </c>
    </row>
    <row r="2951" spans="1:27" ht="26">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5665</v>
      </c>
    </row>
    <row r="2952" spans="1:27" ht="17">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5665</v>
      </c>
    </row>
    <row r="2953" spans="1:27" ht="17">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5665</v>
      </c>
    </row>
    <row r="2954" spans="1:27" ht="17">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5665</v>
      </c>
    </row>
    <row r="2955" spans="1:27" ht="26">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5665</v>
      </c>
    </row>
    <row r="2956" spans="1:27" ht="26">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5665</v>
      </c>
    </row>
    <row r="2957" spans="1:27" ht="17">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5665</v>
      </c>
    </row>
    <row r="2958" spans="1:27" ht="26">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5665</v>
      </c>
    </row>
    <row r="2959" spans="1:27" ht="26">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5665</v>
      </c>
    </row>
    <row r="2960" spans="1:27" ht="17">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5665</v>
      </c>
    </row>
    <row r="2961" spans="1:29" ht="26">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5665</v>
      </c>
    </row>
    <row r="2962" spans="1:29" ht="26">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5665</v>
      </c>
    </row>
    <row r="2963" spans="1:29" ht="17">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5665</v>
      </c>
    </row>
    <row r="2964" spans="1:29" ht="26">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5665</v>
      </c>
    </row>
    <row r="2965" spans="1:29" ht="26">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5665</v>
      </c>
    </row>
    <row r="2966" spans="1:29" ht="17">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5665</v>
      </c>
      <c r="AC2966" s="369" t="s">
        <v>2794</v>
      </c>
    </row>
    <row r="2967" spans="1:29" ht="17">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5665</v>
      </c>
    </row>
    <row r="2968" spans="1:29" ht="17">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5665</v>
      </c>
    </row>
    <row r="2969" spans="1:29" ht="26">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5665</v>
      </c>
    </row>
    <row r="2970" spans="1:29" ht="26">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5665</v>
      </c>
    </row>
    <row r="2971" spans="1:29" ht="17">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5665</v>
      </c>
    </row>
    <row r="2972" spans="1:29" ht="26">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5665</v>
      </c>
    </row>
    <row r="2973" spans="1:29" ht="26">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5665</v>
      </c>
    </row>
    <row r="2974" spans="1:29" ht="17">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5665</v>
      </c>
    </row>
    <row r="2975" spans="1:29" ht="26">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5665</v>
      </c>
    </row>
    <row r="2976" spans="1:29" ht="26">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5665</v>
      </c>
    </row>
    <row r="2977" spans="1:27" ht="17">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5665</v>
      </c>
    </row>
    <row r="2978" spans="1:27" ht="26">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5665</v>
      </c>
    </row>
    <row r="2979" spans="1:27" ht="26">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5665</v>
      </c>
    </row>
    <row r="2980" spans="1:27" ht="1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5665</v>
      </c>
    </row>
    <row r="2981" spans="1:27" ht="17">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5665</v>
      </c>
    </row>
    <row r="2982" spans="1:27" ht="26">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5665</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5665</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5665</v>
      </c>
    </row>
    <row r="2985" spans="1:27" ht="18" customHeight="1">
      <c r="A2985" s="2714"/>
      <c r="B2985" s="371"/>
      <c r="C2985" s="371"/>
      <c r="D2985" s="371"/>
      <c r="E2985" s="2716" t="s">
        <v>2749</v>
      </c>
      <c r="F2985" s="387"/>
      <c r="G2985" s="3210" t="s">
        <v>47</v>
      </c>
      <c r="H2985" s="3290" t="s">
        <v>3524</v>
      </c>
      <c r="I2985" s="3290" t="s">
        <v>3649</v>
      </c>
      <c r="J2985" s="3218"/>
      <c r="K2985" s="3218"/>
      <c r="L2985" s="3218"/>
      <c r="M2985" s="3290" t="s">
        <v>3699</v>
      </c>
      <c r="N2985" s="3218"/>
      <c r="O2985" s="3290" t="s">
        <v>3700</v>
      </c>
      <c r="P2985" s="3298" t="s">
        <v>2560</v>
      </c>
      <c r="Q2985" s="355" t="s">
        <v>5291</v>
      </c>
      <c r="S2985" s="364"/>
      <c r="Z2985" s="609" t="s">
        <v>1206</v>
      </c>
      <c r="AA2985" s="609" t="s">
        <v>5665</v>
      </c>
    </row>
    <row r="2986" spans="1:27" ht="17">
      <c r="A2986" s="2714"/>
      <c r="B2986" s="371"/>
      <c r="C2986" s="371"/>
      <c r="D2986" s="371"/>
      <c r="E2986" s="2716" t="s">
        <v>2749</v>
      </c>
      <c r="F2986" s="294"/>
      <c r="G2986" s="3211"/>
      <c r="H2986" s="3307"/>
      <c r="I2986" s="2318" t="s">
        <v>3701</v>
      </c>
      <c r="J2986" s="2319" t="s">
        <v>3702</v>
      </c>
      <c r="K2986" s="2318" t="s">
        <v>3703</v>
      </c>
      <c r="L2986" s="2318" t="s">
        <v>3704</v>
      </c>
      <c r="M2986" s="2318" t="s">
        <v>3596</v>
      </c>
      <c r="N2986" s="2318" t="s">
        <v>3705</v>
      </c>
      <c r="O2986" s="3291"/>
      <c r="P2986" s="3283"/>
      <c r="S2986" s="364"/>
      <c r="Z2986" s="609" t="s">
        <v>1206</v>
      </c>
      <c r="AA2986" s="609" t="s">
        <v>5665</v>
      </c>
    </row>
    <row r="2987" spans="1:27" ht="17">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5665</v>
      </c>
    </row>
    <row r="2988" spans="1:27" ht="17">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5665</v>
      </c>
    </row>
    <row r="2989" spans="1:27" ht="17">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5665</v>
      </c>
    </row>
    <row r="2990" spans="1:27" ht="17">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5665</v>
      </c>
    </row>
    <row r="2991" spans="1:27" ht="17">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5665</v>
      </c>
    </row>
    <row r="2992" spans="1:27" ht="17">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5665</v>
      </c>
    </row>
    <row r="2993" spans="1:27" ht="17">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5665</v>
      </c>
    </row>
    <row r="2994" spans="1:27" ht="17">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5665</v>
      </c>
    </row>
    <row r="2995" spans="1:27" ht="17">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5665</v>
      </c>
    </row>
    <row r="2996" spans="1:27" ht="17">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5665</v>
      </c>
    </row>
    <row r="2997" spans="1:27" ht="17">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5665</v>
      </c>
    </row>
    <row r="2998" spans="1:27" ht="17">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5665</v>
      </c>
    </row>
    <row r="2999" spans="1:27" ht="17">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5665</v>
      </c>
    </row>
    <row r="3000" spans="1:27" ht="17">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5665</v>
      </c>
    </row>
    <row r="3001" spans="1:27" ht="17">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5665</v>
      </c>
    </row>
    <row r="3002" spans="1:27" ht="17">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5665</v>
      </c>
    </row>
    <row r="3003" spans="1:27" ht="17.5" thickBot="1">
      <c r="A3003" s="2714"/>
      <c r="B3003" s="371"/>
      <c r="C3003" s="371"/>
      <c r="D3003" s="2716">
        <f t="shared" si="340"/>
        <v>1</v>
      </c>
      <c r="E3003" s="2721" t="s">
        <v>2751</v>
      </c>
      <c r="F3003" s="294"/>
      <c r="G3003" s="2330" t="s">
        <v>5490</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5665</v>
      </c>
    </row>
    <row r="3004" spans="1:27" ht="17">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5665</v>
      </c>
    </row>
    <row r="3005" spans="1:27" ht="17">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7">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26">
      <c r="A3008" s="2714"/>
      <c r="B3008" s="371"/>
      <c r="C3008" s="371"/>
      <c r="D3008" s="2716"/>
      <c r="E3008" s="2716" t="s">
        <v>2749</v>
      </c>
      <c r="F3008" s="293"/>
      <c r="G3008" s="1579" t="s">
        <v>5491</v>
      </c>
      <c r="H3008" s="1466" t="s">
        <v>3708</v>
      </c>
      <c r="I3008" s="1466" t="s">
        <v>3709</v>
      </c>
      <c r="J3008" s="1466" t="s">
        <v>3710</v>
      </c>
      <c r="K3008" s="1467" t="s">
        <v>5150</v>
      </c>
      <c r="L3008" s="1473" t="s">
        <v>3351</v>
      </c>
      <c r="M3008" s="355" t="s">
        <v>5292</v>
      </c>
      <c r="N3008" s="434"/>
      <c r="O3008" s="434"/>
      <c r="P3008" s="435"/>
      <c r="Q3008" s="442"/>
      <c r="R3008" s="443"/>
      <c r="S3008" s="364"/>
      <c r="Z3008" s="609" t="s">
        <v>1235</v>
      </c>
      <c r="AA3008" s="609" t="s">
        <v>3706</v>
      </c>
    </row>
    <row r="3009" spans="1:27" ht="17">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7">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7">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7">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7">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7">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7">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7">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7">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7">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7">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7">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7">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7">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7">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7">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7">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7">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7">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7">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7">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7">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7">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7">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7">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7">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7">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7">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7">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7">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7">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7.5" thickBot="1">
      <c r="A3040" s="2714"/>
      <c r="B3040" s="371"/>
      <c r="C3040" s="371"/>
      <c r="D3040" s="2716">
        <f t="shared" si="347"/>
        <v>0</v>
      </c>
      <c r="E3040" s="2721" t="s">
        <v>6557</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7">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7">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7">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6257</v>
      </c>
      <c r="I3044" s="371" t="s">
        <v>6258</v>
      </c>
      <c r="J3044" s="371" t="s">
        <v>6259</v>
      </c>
      <c r="K3044" s="371" t="s">
        <v>6260</v>
      </c>
      <c r="L3044" s="371" t="s">
        <v>6261</v>
      </c>
      <c r="M3044" s="371" t="s">
        <v>6262</v>
      </c>
      <c r="N3044" s="371" t="s">
        <v>6263</v>
      </c>
      <c r="O3044" s="371" t="s">
        <v>6264</v>
      </c>
      <c r="P3044" s="371" t="s">
        <v>6265</v>
      </c>
      <c r="S3044" s="364"/>
      <c r="Z3044" s="609" t="s">
        <v>1246</v>
      </c>
      <c r="AA3044" s="609" t="s">
        <v>3720</v>
      </c>
    </row>
    <row r="3045" spans="1:27" ht="0.75" customHeight="1" thickBot="1">
      <c r="A3045" s="2714"/>
      <c r="B3045" s="371"/>
      <c r="C3045" s="371"/>
      <c r="D3045" s="371"/>
      <c r="F3045" s="371"/>
      <c r="G3045" s="371"/>
      <c r="H3045" s="371" t="s">
        <v>6266</v>
      </c>
      <c r="I3045" s="371" t="s">
        <v>6267</v>
      </c>
      <c r="J3045" s="371" t="s">
        <v>6268</v>
      </c>
      <c r="K3045" s="371" t="s">
        <v>6269</v>
      </c>
      <c r="L3045" s="371" t="s">
        <v>5160</v>
      </c>
      <c r="M3045" s="371" t="s">
        <v>6270</v>
      </c>
      <c r="N3045" s="371" t="s">
        <v>6271</v>
      </c>
      <c r="O3045" s="371" t="s">
        <v>6272</v>
      </c>
      <c r="P3045" s="371" t="s">
        <v>6273</v>
      </c>
      <c r="S3045" s="364"/>
      <c r="Z3045" s="609" t="s">
        <v>1246</v>
      </c>
      <c r="AA3045" s="609" t="s">
        <v>3720</v>
      </c>
    </row>
    <row r="3046" spans="1:27" ht="23.25" customHeight="1">
      <c r="A3046" s="2714"/>
      <c r="B3046" s="371"/>
      <c r="C3046" s="371"/>
      <c r="D3046" s="371"/>
      <c r="E3046" s="2716" t="s">
        <v>2749</v>
      </c>
      <c r="F3046" s="294"/>
      <c r="G3046" s="3210" t="s">
        <v>47</v>
      </c>
      <c r="H3046" s="3218" t="s">
        <v>3574</v>
      </c>
      <c r="I3046" s="3218" t="s">
        <v>3558</v>
      </c>
      <c r="J3046" s="3218"/>
      <c r="K3046" s="3218"/>
      <c r="L3046" s="3218"/>
      <c r="M3046" s="3218"/>
      <c r="N3046" s="3218" t="s">
        <v>3560</v>
      </c>
      <c r="O3046" s="3218"/>
      <c r="P3046" s="3282" t="s">
        <v>3575</v>
      </c>
      <c r="Q3046" s="355" t="s">
        <v>5293</v>
      </c>
      <c r="S3046" s="364"/>
      <c r="Z3046" s="609" t="s">
        <v>1246</v>
      </c>
      <c r="AA3046" s="609" t="s">
        <v>3720</v>
      </c>
    </row>
    <row r="3047" spans="1:27" ht="26">
      <c r="A3047" s="2714"/>
      <c r="B3047" s="371"/>
      <c r="C3047" s="371"/>
      <c r="D3047" s="371"/>
      <c r="E3047" s="2716" t="s">
        <v>2749</v>
      </c>
      <c r="F3047" s="294"/>
      <c r="G3047" s="3211"/>
      <c r="H3047" s="3307"/>
      <c r="I3047" s="2372" t="s">
        <v>3576</v>
      </c>
      <c r="J3047" s="2372" t="s">
        <v>3715</v>
      </c>
      <c r="K3047" s="2370" t="s">
        <v>3547</v>
      </c>
      <c r="L3047" s="2371" t="s">
        <v>5174</v>
      </c>
      <c r="M3047" s="2371" t="s">
        <v>5173</v>
      </c>
      <c r="N3047" s="2372" t="s">
        <v>3561</v>
      </c>
      <c r="O3047" s="2372" t="s">
        <v>3609</v>
      </c>
      <c r="P3047" s="3283"/>
      <c r="S3047" s="364"/>
      <c r="Z3047" s="609" t="s">
        <v>1246</v>
      </c>
      <c r="AA3047" s="609" t="s">
        <v>3720</v>
      </c>
    </row>
    <row r="3048" spans="1:27" ht="17">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7">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7">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7">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7">
      <c r="A3052" s="2714"/>
      <c r="B3052" s="371">
        <v>101.004</v>
      </c>
      <c r="C3052" s="371" t="s">
        <v>2791</v>
      </c>
      <c r="D3052" s="2716">
        <f t="shared" si="360"/>
        <v>1</v>
      </c>
      <c r="E3052" s="2721" t="s">
        <v>5159</v>
      </c>
      <c r="F3052" s="294"/>
      <c r="G3052" s="1636" t="s">
        <v>5617</v>
      </c>
      <c r="H3052" s="309"/>
      <c r="I3052" s="309"/>
      <c r="J3052" s="309"/>
      <c r="K3052" s="309"/>
      <c r="L3052" s="1465">
        <v>0</v>
      </c>
      <c r="M3052" s="309"/>
      <c r="N3052" s="320"/>
      <c r="O3052" s="309"/>
      <c r="P3052" s="1477">
        <f t="shared" si="361"/>
        <v>0</v>
      </c>
      <c r="S3052" s="364"/>
      <c r="Z3052" s="609" t="s">
        <v>1246</v>
      </c>
      <c r="AA3052" s="609" t="s">
        <v>3720</v>
      </c>
    </row>
    <row r="3053" spans="1:27" ht="17">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7">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7">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7">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7">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7">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7">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7">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7">
      <c r="A3061" s="2714"/>
      <c r="B3061" s="371">
        <v>101.999</v>
      </c>
      <c r="C3061" s="371" t="s">
        <v>6564</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7">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7">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7">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7">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7">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7">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7">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7">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7">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7">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7">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7">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7">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7">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7">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7">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7">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7">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7">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7">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7">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7">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7">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7">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7">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7">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7">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7">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7">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7">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7">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7">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7">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7">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7">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7">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7">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7">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7">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7">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7">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39.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7.5" thickTop="1">
      <c r="A3106" s="2714"/>
      <c r="B3106" s="371"/>
      <c r="C3106" s="371" t="s">
        <v>2565</v>
      </c>
      <c r="D3106" s="371"/>
      <c r="F3106" s="294"/>
      <c r="G3106" s="1561" t="s">
        <v>5368</v>
      </c>
      <c r="H3106" s="1550"/>
      <c r="I3106" s="1551"/>
      <c r="J3106" s="1551"/>
      <c r="K3106" s="1551"/>
      <c r="L3106" s="1551"/>
      <c r="M3106" s="1551"/>
      <c r="N3106" s="1551"/>
      <c r="O3106" s="1551"/>
      <c r="P3106" s="1552"/>
      <c r="Q3106" s="1553" t="s">
        <v>5369</v>
      </c>
      <c r="S3106" s="364"/>
      <c r="Z3106" s="609" t="s">
        <v>1246</v>
      </c>
      <c r="AA3106" s="609" t="s">
        <v>3720</v>
      </c>
    </row>
    <row r="3107" spans="1:27" ht="17">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7">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7">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7">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6">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6">
      <c r="A3115" s="2714"/>
      <c r="B3115" s="371"/>
      <c r="C3115" s="371"/>
      <c r="D3115" s="2716"/>
      <c r="E3115" s="586" t="s">
        <v>2749</v>
      </c>
      <c r="F3115" s="414"/>
      <c r="G3115" s="2361" t="s">
        <v>2870</v>
      </c>
      <c r="H3115" s="2366" t="s">
        <v>2863</v>
      </c>
      <c r="I3115" s="2367" t="s">
        <v>3635</v>
      </c>
      <c r="J3115" s="355" t="s">
        <v>5293</v>
      </c>
      <c r="K3115" s="434"/>
      <c r="L3115" s="434"/>
      <c r="M3115" s="435"/>
      <c r="N3115" s="434"/>
      <c r="O3115" s="434"/>
      <c r="P3115" s="435"/>
      <c r="Q3115" s="442"/>
      <c r="R3115" s="443"/>
      <c r="S3115" s="364"/>
      <c r="Z3115" s="609" t="s">
        <v>1246</v>
      </c>
      <c r="AA3115" s="609" t="s">
        <v>3720</v>
      </c>
    </row>
    <row r="3116" spans="1:27" ht="17">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7">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7">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7">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7">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7">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7">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7">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7">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9">
      <c r="A3126" s="2714" t="s">
        <v>1269</v>
      </c>
      <c r="B3126" s="371">
        <v>3</v>
      </c>
      <c r="C3126" s="371"/>
      <c r="D3126" s="2716" t="str">
        <f>VLOOKUP($A3126,Sheet_NoteList,2,0)</f>
        <v>未办妥产权证书的土地使用权及其累计摊销明细项目</v>
      </c>
      <c r="E3126" s="2716" t="s">
        <v>6533</v>
      </c>
      <c r="F3126" s="294"/>
      <c r="G3126" s="372" t="str">
        <f>"("&amp;B3126&amp;")"&amp;D3126</f>
        <v>(3)未办妥产权证书的土地使用权及其累计摊销明细项目</v>
      </c>
      <c r="H3126" s="1517" t="str">
        <f>$A3126</f>
        <v>1701e</v>
      </c>
      <c r="I3126" s="343" t="s">
        <v>5967</v>
      </c>
      <c r="J3126" s="301"/>
      <c r="K3126" s="3084"/>
      <c r="L3126" s="345"/>
      <c r="M3126" s="301"/>
      <c r="N3126" s="3084"/>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6">
      <c r="A3128" s="2714"/>
      <c r="B3128" s="371"/>
      <c r="C3128" s="371"/>
      <c r="D3128" s="371"/>
      <c r="E3128" s="586" t="s">
        <v>2749</v>
      </c>
      <c r="F3128" s="363"/>
      <c r="G3128" s="2363" t="s">
        <v>47</v>
      </c>
      <c r="H3128" s="2364" t="s">
        <v>2863</v>
      </c>
      <c r="I3128" s="2364" t="s">
        <v>3616</v>
      </c>
      <c r="J3128" s="2364" t="s">
        <v>3593</v>
      </c>
      <c r="K3128" s="2364" t="s">
        <v>568</v>
      </c>
      <c r="L3128" s="2365" t="s">
        <v>3097</v>
      </c>
      <c r="M3128" s="355" t="s">
        <v>6177</v>
      </c>
      <c r="N3128" s="532"/>
      <c r="S3128" s="364"/>
      <c r="Z3128" s="609" t="s">
        <v>1246</v>
      </c>
      <c r="AA3128" s="609" t="s">
        <v>3720</v>
      </c>
    </row>
    <row r="3129" spans="1:27" ht="17">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7">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7">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7">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7">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7">
      <c r="A3135" s="2714"/>
      <c r="B3135" s="371"/>
      <c r="C3135" s="371" t="s">
        <v>2755</v>
      </c>
      <c r="D3135" s="371"/>
      <c r="F3135" s="294"/>
      <c r="G3135" s="301"/>
      <c r="H3135" s="315"/>
      <c r="I3135" s="393"/>
      <c r="J3135" s="315"/>
      <c r="K3135" s="315"/>
      <c r="L3135" s="315"/>
      <c r="M3135" s="349"/>
      <c r="S3135" s="364"/>
      <c r="Z3135" s="609" t="s">
        <v>1246</v>
      </c>
      <c r="AA3135" s="609" t="s">
        <v>3720</v>
      </c>
    </row>
    <row r="3136" spans="1:27" ht="26">
      <c r="A3136" s="2714" t="s">
        <v>6054</v>
      </c>
      <c r="B3136" s="371">
        <v>4</v>
      </c>
      <c r="C3136" s="371"/>
      <c r="D3136" s="2716" t="str">
        <f>VLOOKUP($A3136,Sheet_NoteList,2,0)</f>
        <v>无形资产抵押或担保情况</v>
      </c>
      <c r="E3136" s="2716" t="s">
        <v>6533</v>
      </c>
      <c r="F3136" s="293"/>
      <c r="G3136" s="372" t="str">
        <f>"("&amp;B3136&amp;")"&amp;D3136</f>
        <v>(4)无形资产抵押或担保情况</v>
      </c>
      <c r="H3136" s="1517" t="str">
        <f>$A3136</f>
        <v>1701g</v>
      </c>
      <c r="I3136" s="343" t="s">
        <v>6058</v>
      </c>
      <c r="J3136" s="301" t="s">
        <v>6059</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6061</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7">
      <c r="A3138" s="2714"/>
      <c r="B3138" s="371"/>
      <c r="C3138" s="371"/>
      <c r="D3138" s="2716"/>
      <c r="E3138" s="586" t="s">
        <v>2749</v>
      </c>
      <c r="F3138" s="414"/>
      <c r="G3138" s="2363" t="s">
        <v>47</v>
      </c>
      <c r="H3138" s="2360" t="s">
        <v>3593</v>
      </c>
      <c r="I3138" s="2364" t="s">
        <v>568</v>
      </c>
      <c r="J3138" s="2364" t="s">
        <v>3097</v>
      </c>
      <c r="K3138" s="2390" t="s">
        <v>5172</v>
      </c>
      <c r="L3138" s="2389" t="s">
        <v>3594</v>
      </c>
      <c r="M3138" s="355" t="s">
        <v>6177</v>
      </c>
      <c r="N3138" s="391"/>
      <c r="O3138" s="349"/>
      <c r="P3138" s="301"/>
      <c r="S3138" s="364"/>
      <c r="Z3138" s="609" t="s">
        <v>1246</v>
      </c>
      <c r="AA3138" s="609" t="s">
        <v>3720</v>
      </c>
    </row>
    <row r="3139" spans="1:27" ht="17">
      <c r="A3139" s="2714"/>
      <c r="B3139" s="371">
        <v>101</v>
      </c>
      <c r="C3139" s="371" t="s">
        <v>2791</v>
      </c>
      <c r="D3139" s="2716">
        <f t="shared" ref="D3139:D3147" si="368">IF(OR(G3139="*",G3139="",G3139=0),0,COUNTIF($G$3139:$G$3147,G3139))</f>
        <v>1</v>
      </c>
      <c r="E3139" s="2721">
        <v>1</v>
      </c>
      <c r="F3139" s="293"/>
      <c r="G3139" s="2375" t="s">
        <v>6064</v>
      </c>
      <c r="H3139" s="2275"/>
      <c r="I3139" s="2275"/>
      <c r="J3139" s="2275"/>
      <c r="K3139" s="2275"/>
      <c r="L3139" s="2276"/>
      <c r="M3139" s="301"/>
      <c r="N3139" s="391"/>
      <c r="O3139" s="349"/>
      <c r="P3139" s="301"/>
      <c r="S3139" s="364"/>
      <c r="Z3139" s="609" t="s">
        <v>1246</v>
      </c>
      <c r="AA3139" s="609" t="s">
        <v>3720</v>
      </c>
    </row>
    <row r="3140" spans="1:27" ht="17">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7">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7">
      <c r="A3142" s="2714"/>
      <c r="B3142" s="371">
        <v>104</v>
      </c>
      <c r="C3142" s="371" t="s">
        <v>2791</v>
      </c>
      <c r="D3142" s="2716">
        <f t="shared" si="368"/>
        <v>1</v>
      </c>
      <c r="E3142" s="2721">
        <v>1</v>
      </c>
      <c r="F3142" s="293"/>
      <c r="G3142" s="2375" t="s">
        <v>6063</v>
      </c>
      <c r="H3142" s="2275"/>
      <c r="I3142" s="2275"/>
      <c r="J3142" s="2275"/>
      <c r="K3142" s="2275"/>
      <c r="L3142" s="2276"/>
      <c r="M3142" s="301"/>
      <c r="N3142" s="391"/>
      <c r="O3142" s="349"/>
      <c r="P3142" s="301"/>
      <c r="S3142" s="364"/>
      <c r="Z3142" s="609" t="s">
        <v>1246</v>
      </c>
      <c r="AA3142" s="609" t="s">
        <v>3720</v>
      </c>
    </row>
    <row r="3143" spans="1:27" ht="17">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7">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7">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7">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7">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7">
      <c r="A3149" s="2714" t="s">
        <v>6055</v>
      </c>
      <c r="B3149" s="371">
        <v>5</v>
      </c>
      <c r="C3149" s="371"/>
      <c r="D3149" s="2716" t="str">
        <f>VLOOKUP($A3149,Sheet_NoteList,2,0)</f>
        <v>无形资产补充资料</v>
      </c>
      <c r="E3149" s="2716" t="s">
        <v>6533</v>
      </c>
      <c r="F3149" s="293"/>
      <c r="G3149" s="372" t="str">
        <f>"("&amp;B3149&amp;")"&amp;D3149</f>
        <v>(5)无形资产补充资料</v>
      </c>
      <c r="H3149" s="1517" t="str">
        <f>$A3149</f>
        <v>1701h</v>
      </c>
      <c r="I3149" s="343" t="s">
        <v>6058</v>
      </c>
      <c r="J3149" s="301" t="s">
        <v>6059</v>
      </c>
      <c r="K3149" s="2210">
        <f>H3160</f>
        <v>0</v>
      </c>
      <c r="L3149" s="349" t="str">
        <f>IF($I3149="适用",IF(ROUND(K$3042-K3149,2)=0,"F/S",ROUND(K$3042-K3149,2)),"#N/A")</f>
        <v>F/S</v>
      </c>
      <c r="M3149" s="301" t="s">
        <v>6060</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6062</v>
      </c>
      <c r="H3150" s="1617" t="s">
        <v>6274</v>
      </c>
      <c r="I3150" s="371" t="s">
        <v>6275</v>
      </c>
      <c r="J3150" s="371" t="s">
        <v>6276</v>
      </c>
      <c r="K3150" s="547" t="s">
        <v>6277</v>
      </c>
      <c r="L3150" s="547" t="s">
        <v>6278</v>
      </c>
      <c r="M3150" s="371" t="s">
        <v>6279</v>
      </c>
      <c r="N3150" s="547" t="s">
        <v>6280</v>
      </c>
      <c r="O3150" s="547" t="s">
        <v>6281</v>
      </c>
      <c r="P3150" s="371" t="s">
        <v>6282</v>
      </c>
      <c r="S3150" s="364"/>
      <c r="Z3150" s="609" t="s">
        <v>1246</v>
      </c>
      <c r="AA3150" s="609" t="s">
        <v>3720</v>
      </c>
    </row>
    <row r="3151" spans="1:27" ht="17">
      <c r="A3151" s="2714"/>
      <c r="B3151" s="371"/>
      <c r="C3151" s="371"/>
      <c r="D3151" s="2716"/>
      <c r="E3151" s="586" t="s">
        <v>2749</v>
      </c>
      <c r="F3151" s="414"/>
      <c r="G3151" s="2363" t="s">
        <v>47</v>
      </c>
      <c r="H3151" s="2364" t="s">
        <v>6065</v>
      </c>
      <c r="I3151" s="2364" t="s">
        <v>6066</v>
      </c>
      <c r="J3151" s="2364" t="s">
        <v>2544</v>
      </c>
      <c r="K3151" s="1643" t="s">
        <v>6041</v>
      </c>
      <c r="L3151" s="1643" t="s">
        <v>6042</v>
      </c>
      <c r="M3151" s="2364" t="s">
        <v>2549</v>
      </c>
      <c r="N3151" s="1643" t="s">
        <v>6043</v>
      </c>
      <c r="O3151" s="1643" t="s">
        <v>6044</v>
      </c>
      <c r="P3151" s="2365" t="s">
        <v>3277</v>
      </c>
      <c r="Q3151" s="355" t="s">
        <v>6177</v>
      </c>
      <c r="S3151" s="364"/>
      <c r="Z3151" s="609" t="s">
        <v>1246</v>
      </c>
      <c r="AA3151" s="609" t="s">
        <v>3720</v>
      </c>
    </row>
    <row r="3152" spans="1:27" ht="17">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7">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7">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7">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7">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7">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7">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7">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7">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6">
      <c r="A3162" s="2714" t="s">
        <v>1274</v>
      </c>
      <c r="B3162" s="371">
        <v>6</v>
      </c>
      <c r="C3162" s="371"/>
      <c r="D3162" s="2716" t="str">
        <f>VLOOKUP($A3162,Sheet_NoteList,2,0)</f>
        <v>无形资产累计摊销补充资料</v>
      </c>
      <c r="E3162" s="2716" t="s">
        <v>6533</v>
      </c>
      <c r="F3162" s="294"/>
      <c r="G3162" s="372" t="str">
        <f>"("&amp;B3162&amp;")"&amp;D3162</f>
        <v>(6)无形资产累计摊销补充资料</v>
      </c>
      <c r="H3162" s="1517" t="str">
        <f>$A3162</f>
        <v>1701x</v>
      </c>
      <c r="I3162" s="343" t="s">
        <v>5967</v>
      </c>
      <c r="J3162" s="301"/>
      <c r="K3162" s="3084"/>
      <c r="L3162" s="315"/>
      <c r="M3162" s="301"/>
      <c r="N3162" s="3084"/>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7">
      <c r="A3164" s="2714"/>
      <c r="B3164" s="371"/>
      <c r="C3164" s="371"/>
      <c r="D3164" s="371"/>
      <c r="E3164" s="586" t="s">
        <v>2749</v>
      </c>
      <c r="F3164" s="363"/>
      <c r="G3164" s="2363" t="s">
        <v>47</v>
      </c>
      <c r="H3164" s="2364" t="s">
        <v>2887</v>
      </c>
      <c r="I3164" s="2365" t="s">
        <v>2508</v>
      </c>
      <c r="J3164" s="355" t="s">
        <v>6177</v>
      </c>
      <c r="K3164" s="532"/>
      <c r="L3164" s="532"/>
      <c r="M3164" s="532"/>
      <c r="S3164" s="364"/>
      <c r="Z3164" s="609" t="s">
        <v>1246</v>
      </c>
      <c r="AA3164" s="609" t="s">
        <v>3720</v>
      </c>
    </row>
    <row r="3165" spans="1:27" ht="17">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7">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7">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7">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7">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7">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7">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7">
      <c r="A3173" s="2714"/>
      <c r="B3173" s="371"/>
      <c r="C3173" s="371" t="s">
        <v>2755</v>
      </c>
      <c r="D3173" s="371"/>
      <c r="F3173" s="294"/>
      <c r="G3173" s="301"/>
      <c r="H3173" s="315"/>
      <c r="I3173" s="393"/>
      <c r="J3173" s="349"/>
      <c r="K3173" s="349"/>
      <c r="L3173" s="349"/>
      <c r="M3173" s="349"/>
      <c r="S3173" s="364"/>
      <c r="Z3173" s="609" t="s">
        <v>1246</v>
      </c>
      <c r="AA3173" s="609" t="s">
        <v>3720</v>
      </c>
    </row>
    <row r="3174" spans="1:27" ht="17">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5667</v>
      </c>
    </row>
    <row r="3175" spans="1:27" ht="17">
      <c r="A3175" s="2714" t="s">
        <v>6568</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5667</v>
      </c>
    </row>
    <row r="3176" spans="1:27" ht="0.75" customHeight="1">
      <c r="A3176" s="2714"/>
      <c r="B3176" s="371"/>
      <c r="C3176" s="371"/>
      <c r="D3176" s="371"/>
      <c r="F3176" s="371"/>
      <c r="G3176" s="371" t="s">
        <v>6283</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5667</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5667</v>
      </c>
    </row>
    <row r="3178" spans="1:27" ht="17">
      <c r="A3178" s="2714"/>
      <c r="B3178" s="371"/>
      <c r="C3178" s="371"/>
      <c r="D3178" s="371"/>
      <c r="E3178" s="2716" t="s">
        <v>2749</v>
      </c>
      <c r="F3178" s="294"/>
      <c r="G3178" s="3210" t="s">
        <v>47</v>
      </c>
      <c r="H3178" s="3267" t="str">
        <f>$V$3</f>
        <v>2018年12月31日</v>
      </c>
      <c r="I3178" s="3219" t="s">
        <v>3027</v>
      </c>
      <c r="J3178" s="3219"/>
      <c r="K3178" s="3219" t="s">
        <v>3028</v>
      </c>
      <c r="L3178" s="3219"/>
      <c r="M3178" s="3301" t="str">
        <f>$V$2</f>
        <v>2019年12月31日</v>
      </c>
      <c r="N3178" s="3284" t="s">
        <v>3742</v>
      </c>
      <c r="O3178" s="3284" t="s">
        <v>3743</v>
      </c>
      <c r="P3178" s="3299" t="s">
        <v>3744</v>
      </c>
      <c r="Q3178" s="355" t="s">
        <v>5294</v>
      </c>
      <c r="R3178" s="367"/>
      <c r="S3178" s="364"/>
      <c r="Z3178" s="609" t="s">
        <v>3728</v>
      </c>
      <c r="AA3178" s="609" t="s">
        <v>5667</v>
      </c>
    </row>
    <row r="3179" spans="1:27" ht="26">
      <c r="A3179" s="2714"/>
      <c r="B3179" s="371"/>
      <c r="C3179" s="371"/>
      <c r="D3179" s="371"/>
      <c r="E3179" s="2716" t="s">
        <v>2749</v>
      </c>
      <c r="F3179" s="294"/>
      <c r="G3179" s="3211"/>
      <c r="H3179" s="3268"/>
      <c r="I3179" s="554" t="s">
        <v>3745</v>
      </c>
      <c r="J3179" s="587" t="s">
        <v>3704</v>
      </c>
      <c r="K3179" s="554" t="s">
        <v>3746</v>
      </c>
      <c r="L3179" s="1491" t="s">
        <v>5201</v>
      </c>
      <c r="M3179" s="3302"/>
      <c r="N3179" s="3285"/>
      <c r="O3179" s="3285"/>
      <c r="P3179" s="3300"/>
      <c r="Q3179" s="367"/>
      <c r="R3179" s="367"/>
      <c r="S3179" s="364"/>
      <c r="Z3179" s="609" t="s">
        <v>3728</v>
      </c>
      <c r="AA3179" s="609" t="s">
        <v>5667</v>
      </c>
    </row>
    <row r="3180" spans="1:27" ht="17">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5667</v>
      </c>
    </row>
    <row r="3181" spans="1:27" ht="17">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5667</v>
      </c>
    </row>
    <row r="3182" spans="1:27" ht="17">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5667</v>
      </c>
    </row>
    <row r="3183" spans="1:27" ht="17">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5667</v>
      </c>
    </row>
    <row r="3184" spans="1:27" ht="17">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5667</v>
      </c>
    </row>
    <row r="3185" spans="1:27" ht="1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5667</v>
      </c>
    </row>
    <row r="3186" spans="1:27" ht="17">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5667</v>
      </c>
    </row>
    <row r="3187" spans="1:27" ht="17">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5668</v>
      </c>
    </row>
    <row r="3188" spans="1:27" ht="17">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5668</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5668</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5668</v>
      </c>
    </row>
    <row r="3191" spans="1:27" ht="24" customHeight="1">
      <c r="A3191" s="2714"/>
      <c r="B3191" s="371"/>
      <c r="C3191" s="371"/>
      <c r="D3191" s="371"/>
      <c r="E3191" s="586" t="s">
        <v>2749</v>
      </c>
      <c r="F3191" s="2343"/>
      <c r="G3191" s="3170" t="s">
        <v>3752</v>
      </c>
      <c r="H3191" s="3246" t="str">
        <f>$V$3</f>
        <v>2018年12月31日</v>
      </c>
      <c r="I3191" s="3202" t="s">
        <v>3027</v>
      </c>
      <c r="J3191" s="3202"/>
      <c r="K3191" s="3202" t="s">
        <v>3028</v>
      </c>
      <c r="L3191" s="3202"/>
      <c r="M3191" s="3220" t="str">
        <f>$V$2</f>
        <v>2019年12月31日</v>
      </c>
      <c r="N3191" s="355" t="s">
        <v>5295</v>
      </c>
      <c r="P3191" s="291"/>
      <c r="S3191" s="364"/>
      <c r="Z3191" s="609" t="s">
        <v>1296</v>
      </c>
      <c r="AA3191" s="609" t="s">
        <v>5668</v>
      </c>
    </row>
    <row r="3192" spans="1:27" ht="26">
      <c r="A3192" s="2714"/>
      <c r="B3192" s="371"/>
      <c r="C3192" s="371"/>
      <c r="D3192" s="371"/>
      <c r="E3192" s="586" t="s">
        <v>2749</v>
      </c>
      <c r="F3192" s="363"/>
      <c r="G3192" s="3171"/>
      <c r="H3192" s="3247"/>
      <c r="I3192" s="2369" t="s">
        <v>6068</v>
      </c>
      <c r="J3192" s="2369" t="s">
        <v>3704</v>
      </c>
      <c r="K3192" s="2369" t="s">
        <v>3596</v>
      </c>
      <c r="L3192" s="2369" t="s">
        <v>3658</v>
      </c>
      <c r="M3192" s="3221"/>
      <c r="P3192" s="291"/>
      <c r="S3192" s="364"/>
      <c r="Z3192" s="609" t="s">
        <v>1296</v>
      </c>
      <c r="AA3192" s="609" t="s">
        <v>5668</v>
      </c>
    </row>
    <row r="3193" spans="1:27" ht="17">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5668</v>
      </c>
    </row>
    <row r="3194" spans="1:27" ht="17">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5668</v>
      </c>
    </row>
    <row r="3195" spans="1:27" ht="17">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5668</v>
      </c>
    </row>
    <row r="3196" spans="1:27" ht="17">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5668</v>
      </c>
    </row>
    <row r="3197" spans="1:27" ht="17">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5668</v>
      </c>
    </row>
    <row r="3198" spans="1:27" ht="1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5668</v>
      </c>
    </row>
    <row r="3199" spans="1:27" ht="17">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5668</v>
      </c>
    </row>
    <row r="3200" spans="1:27" ht="17">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5668</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5668</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5668</v>
      </c>
    </row>
    <row r="3203" spans="1:34" ht="24" customHeight="1">
      <c r="A3203" s="2714"/>
      <c r="B3203" s="371"/>
      <c r="C3203" s="371"/>
      <c r="D3203" s="371"/>
      <c r="E3203" s="586" t="s">
        <v>2749</v>
      </c>
      <c r="F3203" s="2343"/>
      <c r="G3203" s="3170" t="s">
        <v>3752</v>
      </c>
      <c r="H3203" s="3246" t="str">
        <f>$V$3</f>
        <v>2018年12月31日</v>
      </c>
      <c r="I3203" s="3202" t="s">
        <v>3027</v>
      </c>
      <c r="J3203" s="3202"/>
      <c r="K3203" s="3202" t="s">
        <v>3028</v>
      </c>
      <c r="L3203" s="3202"/>
      <c r="M3203" s="3220" t="str">
        <f>$V$2</f>
        <v>2019年12月31日</v>
      </c>
      <c r="N3203" s="355" t="s">
        <v>5295</v>
      </c>
      <c r="P3203" s="291"/>
      <c r="S3203" s="364"/>
      <c r="Z3203" s="609" t="s">
        <v>1296</v>
      </c>
      <c r="AA3203" s="609" t="s">
        <v>5668</v>
      </c>
    </row>
    <row r="3204" spans="1:34" ht="17">
      <c r="A3204" s="2714"/>
      <c r="B3204" s="371"/>
      <c r="C3204" s="371"/>
      <c r="D3204" s="371"/>
      <c r="E3204" s="586" t="s">
        <v>2749</v>
      </c>
      <c r="F3204" s="363"/>
      <c r="G3204" s="3171"/>
      <c r="H3204" s="3247"/>
      <c r="I3204" s="2369" t="s">
        <v>2920</v>
      </c>
      <c r="J3204" s="2369" t="s">
        <v>3704</v>
      </c>
      <c r="K3204" s="2369" t="s">
        <v>3596</v>
      </c>
      <c r="L3204" s="2369" t="s">
        <v>3658</v>
      </c>
      <c r="M3204" s="3221"/>
      <c r="P3204" s="291"/>
      <c r="S3204" s="364"/>
      <c r="Z3204" s="609" t="s">
        <v>1296</v>
      </c>
      <c r="AA3204" s="609" t="s">
        <v>5668</v>
      </c>
    </row>
    <row r="3205" spans="1:34" ht="17">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5668</v>
      </c>
    </row>
    <row r="3206" spans="1:34" ht="17">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5668</v>
      </c>
    </row>
    <row r="3207" spans="1:34" ht="17">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5668</v>
      </c>
    </row>
    <row r="3208" spans="1:34" ht="17">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5668</v>
      </c>
    </row>
    <row r="3209" spans="1:34" ht="17">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5668</v>
      </c>
    </row>
    <row r="3210" spans="1:34" ht="1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5668</v>
      </c>
      <c r="AC3210" s="369" t="s">
        <v>2794</v>
      </c>
    </row>
    <row r="3211" spans="1:34" ht="17">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5668</v>
      </c>
    </row>
    <row r="3212" spans="1:34" ht="17">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5669</v>
      </c>
    </row>
    <row r="3213" spans="1:34" ht="17">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5669</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5669</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5669</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33" t="s">
        <v>47</v>
      </c>
      <c r="H3216" s="3235" t="str">
        <f>$V$3</f>
        <v>2018年12月31日</v>
      </c>
      <c r="I3216" s="3248" t="s">
        <v>3027</v>
      </c>
      <c r="J3216" s="3218" t="s">
        <v>3028</v>
      </c>
      <c r="K3216" s="3218"/>
      <c r="L3216" s="3295" t="str">
        <f>$V$2</f>
        <v>2019年12月31日</v>
      </c>
      <c r="M3216" s="355" t="s">
        <v>5296</v>
      </c>
      <c r="N3216" s="592"/>
      <c r="O3216" s="591"/>
      <c r="P3216" s="591"/>
      <c r="Q3216" s="592"/>
      <c r="R3216" s="595"/>
      <c r="S3216" s="564"/>
      <c r="T3216" s="292"/>
      <c r="U3216" s="292"/>
      <c r="V3216" s="292"/>
      <c r="W3216" s="292"/>
      <c r="X3216" s="292"/>
      <c r="Y3216" s="292"/>
      <c r="Z3216" s="609" t="s">
        <v>1306</v>
      </c>
      <c r="AA3216" s="609" t="s">
        <v>5669</v>
      </c>
      <c r="AB3216" s="369"/>
      <c r="AC3216" s="369"/>
      <c r="AD3216" s="369"/>
      <c r="AE3216" s="369"/>
      <c r="AF3216" s="292"/>
      <c r="AG3216" s="292"/>
      <c r="AH3216" s="292"/>
    </row>
    <row r="3217" spans="1:27" ht="17">
      <c r="A3217" s="2714"/>
      <c r="B3217" s="371"/>
      <c r="C3217" s="371"/>
      <c r="D3217" s="371"/>
      <c r="E3217" s="2716" t="s">
        <v>2749</v>
      </c>
      <c r="F3217" s="294"/>
      <c r="G3217" s="3234"/>
      <c r="H3217" s="3236"/>
      <c r="I3217" s="3249"/>
      <c r="J3217" s="558" t="s">
        <v>3759</v>
      </c>
      <c r="K3217" s="1492" t="s">
        <v>5202</v>
      </c>
      <c r="L3217" s="3296"/>
      <c r="M3217" s="571"/>
      <c r="N3217" s="574"/>
      <c r="O3217" s="472"/>
      <c r="P3217" s="472"/>
      <c r="Q3217" s="442"/>
      <c r="R3217" s="443"/>
      <c r="S3217" s="364"/>
      <c r="Z3217" s="609" t="s">
        <v>1306</v>
      </c>
      <c r="AA3217" s="609" t="s">
        <v>5669</v>
      </c>
    </row>
    <row r="3218" spans="1:27" ht="17">
      <c r="A3218" s="2714"/>
      <c r="B3218" s="371">
        <v>101</v>
      </c>
      <c r="C3218" s="371" t="s">
        <v>2791</v>
      </c>
      <c r="D3218" s="2716">
        <f t="shared" ref="D3218:D3223" si="377">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5669</v>
      </c>
    </row>
    <row r="3219" spans="1:27" ht="17">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5669</v>
      </c>
    </row>
    <row r="3220" spans="1:27" ht="17">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5669</v>
      </c>
    </row>
    <row r="3221" spans="1:27" ht="17">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5669</v>
      </c>
    </row>
    <row r="3222" spans="1:27" ht="17">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5669</v>
      </c>
    </row>
    <row r="3223" spans="1:27" ht="17.5" thickBot="1">
      <c r="A3223" s="2714"/>
      <c r="B3223" s="371"/>
      <c r="C3223" s="371"/>
      <c r="D3223" s="2716">
        <f t="shared" si="377"/>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5669</v>
      </c>
    </row>
    <row r="3224" spans="1:27" ht="17">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5669</v>
      </c>
    </row>
    <row r="3225" spans="1:27" ht="17">
      <c r="A3225" s="2714" t="s">
        <v>1310</v>
      </c>
      <c r="B3225" s="371">
        <v>2</v>
      </c>
      <c r="C3225" s="371"/>
      <c r="D3225" s="2716" t="str">
        <f>VLOOKUP($A3225,Sheet_NoteList,2,0)</f>
        <v>长期待摊费用补充资料</v>
      </c>
      <c r="E3225" s="2716" t="s">
        <v>6533</v>
      </c>
      <c r="F3225" s="294"/>
      <c r="G3225" s="307" t="str">
        <f>"("&amp;B3225&amp;")"&amp;D3225</f>
        <v>(2)长期待摊费用补充资料</v>
      </c>
      <c r="H3225" s="1517" t="str">
        <f>$A3225</f>
        <v>1801x</v>
      </c>
      <c r="I3225" s="343" t="s">
        <v>5967</v>
      </c>
      <c r="J3225" s="301"/>
      <c r="K3225" s="391"/>
      <c r="L3225" s="345"/>
      <c r="M3225" s="301"/>
      <c r="N3225" s="391"/>
      <c r="O3225" s="345"/>
      <c r="P3225" s="301"/>
      <c r="S3225" s="364"/>
      <c r="Z3225" s="609" t="s">
        <v>1306</v>
      </c>
      <c r="AA3225" s="609" t="s">
        <v>5669</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5669</v>
      </c>
    </row>
    <row r="3227" spans="1:27" ht="17">
      <c r="A3227" s="2714"/>
      <c r="B3227" s="371"/>
      <c r="C3227" s="371"/>
      <c r="D3227" s="371"/>
      <c r="E3227" s="2716" t="s">
        <v>2749</v>
      </c>
      <c r="F3227" s="294"/>
      <c r="G3227" s="2386" t="s">
        <v>47</v>
      </c>
      <c r="H3227" s="2387" t="s">
        <v>2887</v>
      </c>
      <c r="I3227" s="2388" t="s">
        <v>2508</v>
      </c>
      <c r="J3227" s="355" t="s">
        <v>6177</v>
      </c>
      <c r="O3227" s="291"/>
      <c r="P3227" s="291"/>
      <c r="S3227" s="364"/>
      <c r="Z3227" s="609" t="s">
        <v>1306</v>
      </c>
      <c r="AA3227" s="609" t="s">
        <v>5669</v>
      </c>
    </row>
    <row r="3228" spans="1:27" ht="17">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5669</v>
      </c>
    </row>
    <row r="3229" spans="1:27" ht="17">
      <c r="A3229" s="2714"/>
      <c r="B3229" s="371">
        <v>102</v>
      </c>
      <c r="C3229" s="371"/>
      <c r="D3229" s="2716">
        <f t="shared" si="378"/>
        <v>1</v>
      </c>
      <c r="E3229" s="2721">
        <v>-1</v>
      </c>
      <c r="F3229" s="294"/>
      <c r="G3229" s="308" t="s">
        <v>3762</v>
      </c>
      <c r="H3229" s="309"/>
      <c r="I3229" s="388"/>
      <c r="O3229" s="291"/>
      <c r="P3229" s="291"/>
      <c r="S3229" s="364"/>
      <c r="Z3229" s="609" t="s">
        <v>1306</v>
      </c>
      <c r="AA3229" s="609" t="s">
        <v>5669</v>
      </c>
    </row>
    <row r="3230" spans="1:27" ht="17">
      <c r="A3230" s="2714"/>
      <c r="B3230" s="371">
        <v>103</v>
      </c>
      <c r="C3230" s="371" t="s">
        <v>2791</v>
      </c>
      <c r="D3230" s="2716">
        <f t="shared" si="378"/>
        <v>1</v>
      </c>
      <c r="E3230" s="2721">
        <v>1</v>
      </c>
      <c r="F3230" s="294"/>
      <c r="G3230" s="578" t="s">
        <v>685</v>
      </c>
      <c r="H3230" s="309"/>
      <c r="I3230" s="388"/>
      <c r="O3230" s="291"/>
      <c r="P3230" s="291"/>
      <c r="S3230" s="364"/>
      <c r="Z3230" s="609" t="s">
        <v>1306</v>
      </c>
      <c r="AA3230" s="609" t="s">
        <v>5669</v>
      </c>
    </row>
    <row r="3231" spans="1:27" ht="17">
      <c r="A3231" s="2714"/>
      <c r="B3231" s="371">
        <v>104</v>
      </c>
      <c r="C3231" s="371" t="s">
        <v>2791</v>
      </c>
      <c r="D3231" s="2716">
        <f t="shared" si="378"/>
        <v>1</v>
      </c>
      <c r="E3231" s="2721">
        <v>1</v>
      </c>
      <c r="F3231" s="294"/>
      <c r="G3231" s="578" t="s">
        <v>680</v>
      </c>
      <c r="H3231" s="309"/>
      <c r="I3231" s="388"/>
      <c r="O3231" s="291"/>
      <c r="P3231" s="291"/>
      <c r="S3231" s="364"/>
      <c r="Z3231" s="609" t="s">
        <v>1306</v>
      </c>
      <c r="AA3231" s="609" t="s">
        <v>5669</v>
      </c>
    </row>
    <row r="3232" spans="1:27" ht="17">
      <c r="A3232" s="2714"/>
      <c r="B3232" s="371">
        <v>105</v>
      </c>
      <c r="C3232" s="371" t="s">
        <v>2791</v>
      </c>
      <c r="D3232" s="2716">
        <f t="shared" si="378"/>
        <v>1</v>
      </c>
      <c r="E3232" s="2721">
        <v>1</v>
      </c>
      <c r="F3232" s="294"/>
      <c r="G3232" s="578" t="s">
        <v>362</v>
      </c>
      <c r="H3232" s="309"/>
      <c r="I3232" s="388"/>
      <c r="O3232" s="291"/>
      <c r="P3232" s="291"/>
      <c r="S3232" s="364"/>
      <c r="Z3232" s="609" t="s">
        <v>1306</v>
      </c>
      <c r="AA3232" s="609" t="s">
        <v>5669</v>
      </c>
    </row>
    <row r="3233" spans="1:27" ht="17">
      <c r="A3233" s="2714"/>
      <c r="B3233" s="371">
        <v>106</v>
      </c>
      <c r="C3233" s="371" t="s">
        <v>2791</v>
      </c>
      <c r="D3233" s="2716">
        <f t="shared" si="378"/>
        <v>1</v>
      </c>
      <c r="E3233" s="2721">
        <v>1</v>
      </c>
      <c r="F3233" s="294"/>
      <c r="G3233" s="578" t="s">
        <v>369</v>
      </c>
      <c r="H3233" s="309"/>
      <c r="I3233" s="388"/>
      <c r="O3233" s="291"/>
      <c r="P3233" s="291"/>
      <c r="S3233" s="364"/>
      <c r="Z3233" s="609" t="s">
        <v>1306</v>
      </c>
      <c r="AA3233" s="609" t="s">
        <v>5669</v>
      </c>
    </row>
    <row r="3234" spans="1:27" ht="17">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5669</v>
      </c>
    </row>
    <row r="3235" spans="1:27" ht="1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5669</v>
      </c>
    </row>
    <row r="3236" spans="1:27" ht="17">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5669</v>
      </c>
    </row>
    <row r="3237" spans="1:27" ht="17">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7">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5670</v>
      </c>
    </row>
    <row r="3239" spans="1:27" ht="17">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5695</v>
      </c>
    </row>
    <row r="3240" spans="1:27" ht="26">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t="str">
        <f>IF($I3240="适用",IF(ROUND(N3238-N3240,2)=0,"F/S",ROUND(N3238-N3240,2)),"#N/A")</f>
        <v>F/S</v>
      </c>
      <c r="P3240" s="301"/>
      <c r="Q3240" s="290" t="str">
        <f>IF($I3240="不适用","",IF(ROUND(SUM($H$3245:$K$3254),2)=0,"请输入",""))</f>
        <v>请输入</v>
      </c>
      <c r="S3240" s="364"/>
      <c r="Z3240" s="609" t="s">
        <v>3763</v>
      </c>
      <c r="AA3240" s="609" t="s">
        <v>5670</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5670</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5670</v>
      </c>
    </row>
    <row r="3243" spans="1:27" ht="17">
      <c r="A3243" s="2714"/>
      <c r="B3243" s="371"/>
      <c r="C3243" s="371"/>
      <c r="D3243" s="371"/>
      <c r="E3243" s="586" t="s">
        <v>2749</v>
      </c>
      <c r="F3243" s="363"/>
      <c r="G3243" s="3170" t="s">
        <v>47</v>
      </c>
      <c r="H3243" s="3231" t="str">
        <f>$V$2</f>
        <v>2019年12月31日</v>
      </c>
      <c r="I3243" s="3232"/>
      <c r="J3243" s="3231" t="str">
        <f>$V$3</f>
        <v>2018年12月31日</v>
      </c>
      <c r="K3243" s="3245"/>
      <c r="L3243" s="355" t="s">
        <v>5297</v>
      </c>
      <c r="M3243" s="291"/>
      <c r="N3243" s="291"/>
      <c r="O3243" s="291"/>
      <c r="S3243" s="364"/>
      <c r="Z3243" s="609" t="s">
        <v>3763</v>
      </c>
      <c r="AA3243" s="609" t="s">
        <v>5670</v>
      </c>
    </row>
    <row r="3244" spans="1:27" ht="26">
      <c r="A3244" s="2714"/>
      <c r="B3244" s="371"/>
      <c r="C3244" s="371"/>
      <c r="D3244" s="371"/>
      <c r="E3244" s="586" t="s">
        <v>2749</v>
      </c>
      <c r="F3244" s="363"/>
      <c r="G3244" s="3171"/>
      <c r="H3244" s="2369" t="s">
        <v>3774</v>
      </c>
      <c r="I3244" s="2369" t="s">
        <v>422</v>
      </c>
      <c r="J3244" s="2369" t="s">
        <v>3774</v>
      </c>
      <c r="K3244" s="2374" t="s">
        <v>422</v>
      </c>
      <c r="L3244" s="594"/>
      <c r="M3244" s="291"/>
      <c r="N3244" s="291"/>
      <c r="O3244" s="291"/>
      <c r="S3244" s="364"/>
      <c r="Z3244" s="609" t="s">
        <v>3763</v>
      </c>
      <c r="AA3244" s="609" t="s">
        <v>5670</v>
      </c>
    </row>
    <row r="3245" spans="1:27" ht="17">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5670</v>
      </c>
    </row>
    <row r="3246" spans="1:27" ht="17">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5670</v>
      </c>
    </row>
    <row r="3247" spans="1:27" ht="17">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5670</v>
      </c>
    </row>
    <row r="3248" spans="1:27" ht="17">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5670</v>
      </c>
    </row>
    <row r="3249" spans="1:27" ht="26">
      <c r="A3249" s="2714"/>
      <c r="B3249" s="371">
        <v>105</v>
      </c>
      <c r="C3249" s="371" t="s">
        <v>2791</v>
      </c>
      <c r="D3249" s="2716">
        <f t="shared" si="379"/>
        <v>1</v>
      </c>
      <c r="E3249" s="2721">
        <v>1</v>
      </c>
      <c r="F3249" s="294"/>
      <c r="G3249" s="2375" t="s">
        <v>5644</v>
      </c>
      <c r="H3249" s="2275"/>
      <c r="I3249" s="2275"/>
      <c r="J3249" s="2275"/>
      <c r="K3249" s="2296"/>
      <c r="L3249" s="291"/>
      <c r="M3249" s="291"/>
      <c r="N3249" s="291"/>
      <c r="O3249" s="291"/>
      <c r="S3249" s="364"/>
      <c r="Z3249" s="609" t="s">
        <v>3763</v>
      </c>
      <c r="AA3249" s="609" t="s">
        <v>5670</v>
      </c>
    </row>
    <row r="3250" spans="1:27" ht="17">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5670</v>
      </c>
    </row>
    <row r="3251" spans="1:27" ht="17">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5670</v>
      </c>
    </row>
    <row r="3252" spans="1:27" ht="17">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5670</v>
      </c>
    </row>
    <row r="3253" spans="1:27" ht="17">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5670</v>
      </c>
    </row>
    <row r="3254" spans="1:27" ht="1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5670</v>
      </c>
    </row>
    <row r="3255" spans="1:27" ht="17">
      <c r="A3255" s="2714"/>
      <c r="B3255" s="371"/>
      <c r="C3255" s="371" t="s">
        <v>2755</v>
      </c>
      <c r="D3255" s="371"/>
      <c r="F3255" s="294"/>
      <c r="G3255" s="301"/>
      <c r="H3255" s="315"/>
      <c r="I3255" s="315"/>
      <c r="J3255" s="315"/>
      <c r="K3255" s="315"/>
      <c r="L3255" s="291"/>
      <c r="M3255" s="291"/>
      <c r="N3255" s="291"/>
      <c r="O3255" s="291"/>
      <c r="S3255" s="364"/>
      <c r="Z3255" s="609" t="s">
        <v>3763</v>
      </c>
      <c r="AA3255" s="609" t="s">
        <v>5670</v>
      </c>
    </row>
    <row r="3256" spans="1:27" ht="26">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5695</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5695</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5695</v>
      </c>
    </row>
    <row r="3259" spans="1:27" ht="17">
      <c r="A3259" s="2714"/>
      <c r="B3259" s="371"/>
      <c r="C3259" s="371"/>
      <c r="D3259" s="371"/>
      <c r="E3259" s="586" t="s">
        <v>2749</v>
      </c>
      <c r="F3259" s="363"/>
      <c r="G3259" s="3170" t="s">
        <v>47</v>
      </c>
      <c r="H3259" s="3231" t="str">
        <f>$V$2</f>
        <v>2019年12月31日</v>
      </c>
      <c r="I3259" s="3232"/>
      <c r="J3259" s="3231" t="str">
        <f>$V$3</f>
        <v>2018年12月31日</v>
      </c>
      <c r="K3259" s="3245"/>
      <c r="L3259" s="355" t="s">
        <v>5297</v>
      </c>
      <c r="M3259" s="291"/>
      <c r="N3259" s="291"/>
      <c r="O3259" s="291"/>
      <c r="S3259" s="364"/>
      <c r="Z3259" s="609" t="s">
        <v>3764</v>
      </c>
      <c r="AA3259" s="609" t="s">
        <v>5695</v>
      </c>
    </row>
    <row r="3260" spans="1:27" ht="26">
      <c r="A3260" s="2714"/>
      <c r="B3260" s="371"/>
      <c r="C3260" s="371"/>
      <c r="D3260" s="371"/>
      <c r="E3260" s="586" t="s">
        <v>2749</v>
      </c>
      <c r="F3260" s="363"/>
      <c r="G3260" s="3171"/>
      <c r="H3260" s="2369" t="s">
        <v>3787</v>
      </c>
      <c r="I3260" s="2369" t="s">
        <v>576</v>
      </c>
      <c r="J3260" s="2369" t="s">
        <v>3787</v>
      </c>
      <c r="K3260" s="2374" t="s">
        <v>576</v>
      </c>
      <c r="L3260" s="291"/>
      <c r="M3260" s="291"/>
      <c r="N3260" s="291"/>
      <c r="O3260" s="291"/>
      <c r="S3260" s="364"/>
      <c r="Z3260" s="609" t="s">
        <v>3764</v>
      </c>
      <c r="AA3260" s="609" t="s">
        <v>5695</v>
      </c>
    </row>
    <row r="3261" spans="1:27" ht="26">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5695</v>
      </c>
    </row>
    <row r="3262" spans="1:27" ht="26">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5695</v>
      </c>
    </row>
    <row r="3263" spans="1:27" ht="17">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5695</v>
      </c>
    </row>
    <row r="3264" spans="1:27" ht="17">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5695</v>
      </c>
    </row>
    <row r="3265" spans="1:29" ht="17">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5695</v>
      </c>
    </row>
    <row r="3266" spans="1:29" ht="17">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5695</v>
      </c>
    </row>
    <row r="3267" spans="1:29" ht="1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5695</v>
      </c>
    </row>
    <row r="3268" spans="1:29" ht="17">
      <c r="A3268" s="2714"/>
      <c r="B3268" s="371"/>
      <c r="C3268" s="371" t="s">
        <v>2755</v>
      </c>
      <c r="D3268" s="371"/>
      <c r="F3268" s="294"/>
      <c r="G3268" s="301"/>
      <c r="H3268" s="315"/>
      <c r="I3268" s="315"/>
      <c r="J3268" s="315"/>
      <c r="K3268" s="315"/>
      <c r="L3268" s="291"/>
      <c r="M3268" s="291"/>
      <c r="N3268" s="291"/>
      <c r="O3268" s="291"/>
      <c r="S3268" s="364"/>
      <c r="Z3268" s="609" t="s">
        <v>3764</v>
      </c>
      <c r="AA3268" s="609" t="s">
        <v>5695</v>
      </c>
    </row>
    <row r="3269" spans="1:29" ht="26">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4"/>
      <c r="L3269" s="315"/>
      <c r="M3269" s="301"/>
      <c r="N3269" s="3084"/>
      <c r="O3269" s="315"/>
      <c r="P3269" s="301"/>
      <c r="Q3269" s="290" t="str">
        <f>IF($I3269="不适用","",IF(ROUND(SUM($H$3272:$K$3274),2)=0,"请输入",""))</f>
        <v>请输入</v>
      </c>
      <c r="S3269" s="364"/>
      <c r="Z3269" s="609" t="s">
        <v>3790</v>
      </c>
      <c r="AA3269" s="609" t="s">
        <v>6577</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6577</v>
      </c>
    </row>
    <row r="3271" spans="1:29" ht="52">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5297</v>
      </c>
      <c r="M3271" s="291"/>
      <c r="N3271" s="291"/>
      <c r="O3271" s="291"/>
      <c r="S3271" s="364"/>
      <c r="Z3271" s="609" t="s">
        <v>3790</v>
      </c>
      <c r="AA3271" s="609" t="s">
        <v>6577</v>
      </c>
    </row>
    <row r="3272" spans="1:29" ht="17">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6577</v>
      </c>
    </row>
    <row r="3273" spans="1:29" ht="17">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6577</v>
      </c>
    </row>
    <row r="3274" spans="1:29" ht="1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6577</v>
      </c>
    </row>
    <row r="3275" spans="1:29" ht="17">
      <c r="A3275" s="2714"/>
      <c r="B3275" s="371"/>
      <c r="C3275" s="371" t="s">
        <v>2755</v>
      </c>
      <c r="D3275" s="371"/>
      <c r="F3275" s="294"/>
      <c r="G3275" s="301"/>
      <c r="H3275" s="315"/>
      <c r="I3275" s="315"/>
      <c r="J3275" s="315"/>
      <c r="K3275" s="315"/>
      <c r="L3275" s="291"/>
      <c r="M3275" s="291"/>
      <c r="N3275" s="291"/>
      <c r="O3275" s="291"/>
      <c r="S3275" s="364"/>
      <c r="Z3275" s="609" t="s">
        <v>3790</v>
      </c>
      <c r="AA3275" s="609" t="s">
        <v>6577</v>
      </c>
    </row>
    <row r="3276" spans="1:29" ht="26">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4"/>
      <c r="L3276" s="315"/>
      <c r="M3276" s="301"/>
      <c r="N3276" s="3084"/>
      <c r="O3276" s="315"/>
      <c r="P3276" s="301"/>
      <c r="Q3276" s="290" t="str">
        <f>IF($I3276="不适用","",IF(ROUND(SUM($H$3279:$I$3284),2)=0,"请输入",""))</f>
        <v>请输入</v>
      </c>
      <c r="S3276" s="364"/>
      <c r="Z3276" s="609" t="s">
        <v>3763</v>
      </c>
      <c r="AA3276" s="609" t="s">
        <v>5670</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5670</v>
      </c>
    </row>
    <row r="3278" spans="1:29" ht="26">
      <c r="A3278" s="2714"/>
      <c r="B3278" s="371"/>
      <c r="C3278" s="371"/>
      <c r="D3278" s="371"/>
      <c r="E3278" s="586" t="s">
        <v>2749</v>
      </c>
      <c r="F3278" s="363"/>
      <c r="G3278" s="2362" t="s">
        <v>47</v>
      </c>
      <c r="H3278" s="2225" t="str">
        <f>$V$2</f>
        <v>2019年12月31日</v>
      </c>
      <c r="I3278" s="2226" t="str">
        <f>$V$3</f>
        <v>2018年12月31日</v>
      </c>
      <c r="J3278" s="355" t="s">
        <v>5297</v>
      </c>
      <c r="K3278" s="291"/>
      <c r="L3278" s="291"/>
      <c r="M3278" s="291"/>
      <c r="S3278" s="364"/>
      <c r="Z3278" s="609" t="s">
        <v>3763</v>
      </c>
      <c r="AA3278" s="609" t="s">
        <v>5670</v>
      </c>
    </row>
    <row r="3279" spans="1:29" ht="17">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5670</v>
      </c>
    </row>
    <row r="3280" spans="1:29" ht="17">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5670</v>
      </c>
      <c r="AC3280" s="369" t="s">
        <v>6575</v>
      </c>
    </row>
    <row r="3281" spans="1:27" ht="17">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5670</v>
      </c>
    </row>
    <row r="3282" spans="1:27" ht="17">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5670</v>
      </c>
    </row>
    <row r="3283" spans="1:27" ht="17">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5670</v>
      </c>
    </row>
    <row r="3284" spans="1:27" ht="1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5670</v>
      </c>
    </row>
    <row r="3285" spans="1:27" ht="17">
      <c r="A3285" s="2714"/>
      <c r="B3285" s="371"/>
      <c r="C3285" s="371" t="s">
        <v>2755</v>
      </c>
      <c r="D3285" s="371"/>
      <c r="F3285" s="294"/>
      <c r="G3285" s="301"/>
      <c r="H3285" s="315"/>
      <c r="I3285" s="315"/>
      <c r="J3285" s="291"/>
      <c r="K3285" s="291"/>
      <c r="L3285" s="291"/>
      <c r="M3285" s="291"/>
      <c r="S3285" s="364"/>
      <c r="Z3285" s="609" t="s">
        <v>3763</v>
      </c>
      <c r="AA3285" s="609" t="s">
        <v>5670</v>
      </c>
    </row>
    <row r="3286" spans="1:27" ht="39">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7">
        <f>H3296</f>
        <v>0</v>
      </c>
      <c r="L3286" s="315"/>
      <c r="M3286" s="301"/>
      <c r="N3286" s="3087">
        <f>I3296</f>
        <v>0</v>
      </c>
      <c r="O3286" s="315"/>
      <c r="P3286" s="301"/>
      <c r="Q3286" s="290" t="str">
        <f>IF($I3286="不适用","",IF(ROUND(SUM($H$3289:$J$3296),2)=0,"请输入",""))</f>
        <v>请输入</v>
      </c>
      <c r="S3286" s="364"/>
      <c r="Z3286" s="609" t="s">
        <v>3763</v>
      </c>
      <c r="AA3286" s="609" t="s">
        <v>5670</v>
      </c>
    </row>
    <row r="3287" spans="1:27" ht="0.75" customHeight="1" thickBot="1">
      <c r="A3287" s="2714"/>
      <c r="B3287" s="371"/>
      <c r="C3287" s="371"/>
      <c r="D3287" s="371"/>
      <c r="E3287" s="586"/>
      <c r="F3287" s="586"/>
      <c r="G3287" s="586" t="s">
        <v>3798</v>
      </c>
      <c r="H3287" s="371" t="s">
        <v>6287</v>
      </c>
      <c r="I3287" s="371" t="s">
        <v>6288</v>
      </c>
      <c r="J3287" s="371" t="s">
        <v>6289</v>
      </c>
      <c r="K3287" s="472"/>
      <c r="L3287" s="472"/>
      <c r="M3287" s="472"/>
      <c r="N3287" s="472"/>
      <c r="O3287" s="442"/>
      <c r="P3287" s="442"/>
      <c r="Q3287" s="442"/>
      <c r="R3287" s="443"/>
      <c r="S3287" s="364"/>
      <c r="Z3287" s="609" t="s">
        <v>3763</v>
      </c>
      <c r="AA3287" s="609" t="s">
        <v>5670</v>
      </c>
    </row>
    <row r="3288" spans="1:27" ht="26">
      <c r="A3288" s="2714"/>
      <c r="B3288" s="371"/>
      <c r="C3288" s="371"/>
      <c r="D3288" s="371"/>
      <c r="E3288" s="586" t="s">
        <v>2749</v>
      </c>
      <c r="F3288" s="363"/>
      <c r="G3288" s="2362" t="s">
        <v>3799</v>
      </c>
      <c r="H3288" s="2225" t="str">
        <f>$V$2</f>
        <v>2019年12月31日</v>
      </c>
      <c r="I3288" s="2225" t="str">
        <f>$V$3</f>
        <v>2018年12月31日</v>
      </c>
      <c r="J3288" s="2373" t="s">
        <v>2508</v>
      </c>
      <c r="K3288" s="355" t="s">
        <v>5297</v>
      </c>
      <c r="L3288" s="472"/>
      <c r="M3288" s="472"/>
      <c r="N3288" s="472"/>
      <c r="O3288" s="442"/>
      <c r="P3288" s="442"/>
      <c r="Q3288" s="442"/>
      <c r="R3288" s="443"/>
      <c r="S3288" s="364"/>
      <c r="Z3288" s="609" t="s">
        <v>3763</v>
      </c>
      <c r="AA3288" s="609" t="s">
        <v>5670</v>
      </c>
    </row>
    <row r="3289" spans="1:27" ht="17">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5670</v>
      </c>
    </row>
    <row r="3290" spans="1:27" ht="17">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5670</v>
      </c>
    </row>
    <row r="3291" spans="1:27" ht="17">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5670</v>
      </c>
    </row>
    <row r="3292" spans="1:27" ht="17">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5670</v>
      </c>
    </row>
    <row r="3293" spans="1:27" ht="17">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5670</v>
      </c>
    </row>
    <row r="3294" spans="1:27" ht="17">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5670</v>
      </c>
    </row>
    <row r="3295" spans="1:27" ht="17">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5670</v>
      </c>
    </row>
    <row r="3296" spans="1:27" ht="1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5670</v>
      </c>
    </row>
    <row r="3297" spans="1:27" ht="1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5670</v>
      </c>
    </row>
    <row r="3298" spans="1:27" ht="1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5670</v>
      </c>
    </row>
    <row r="3299" spans="1:27" ht="17">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5670</v>
      </c>
    </row>
    <row r="3300" spans="1:27" ht="17">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5670</v>
      </c>
    </row>
    <row r="3301" spans="1:27" ht="1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5670</v>
      </c>
    </row>
    <row r="3302" spans="1:27" ht="1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5670</v>
      </c>
    </row>
    <row r="3303" spans="1:27" ht="17">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5670</v>
      </c>
    </row>
    <row r="3304" spans="1:27" ht="17">
      <c r="A3304" s="2714"/>
      <c r="B3304" s="371"/>
      <c r="C3304" s="371" t="s">
        <v>2565</v>
      </c>
      <c r="D3304" s="371"/>
      <c r="F3304" s="294"/>
      <c r="G3304" s="354"/>
      <c r="H3304" s="461"/>
      <c r="I3304" s="461"/>
      <c r="J3304" s="317"/>
      <c r="K3304" s="291"/>
      <c r="L3304" s="291"/>
      <c r="M3304" s="291"/>
      <c r="N3304" s="291"/>
      <c r="S3304" s="364"/>
      <c r="Z3304" s="609" t="s">
        <v>3763</v>
      </c>
      <c r="AA3304" s="609" t="s">
        <v>5670</v>
      </c>
    </row>
    <row r="3305" spans="1:27" ht="17">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5671</v>
      </c>
    </row>
    <row r="3306" spans="1:27" ht="17">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5671</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5671</v>
      </c>
    </row>
    <row r="3308" spans="1:27" ht="26">
      <c r="A3308" s="2714"/>
      <c r="B3308" s="371"/>
      <c r="C3308" s="371"/>
      <c r="D3308" s="371"/>
      <c r="E3308" s="2716" t="s">
        <v>2749</v>
      </c>
      <c r="F3308" s="294"/>
      <c r="G3308" s="410" t="s">
        <v>47</v>
      </c>
      <c r="H3308" s="1454" t="str">
        <f>$V$2</f>
        <v>2019年12月31日</v>
      </c>
      <c r="I3308" s="1455" t="str">
        <f>$V$3</f>
        <v>2018年12月31日</v>
      </c>
      <c r="J3308" s="355" t="s">
        <v>5298</v>
      </c>
      <c r="M3308" s="291"/>
      <c r="S3308" s="364"/>
      <c r="Z3308" s="609" t="s">
        <v>1343</v>
      </c>
      <c r="AA3308" s="609" t="s">
        <v>5671</v>
      </c>
    </row>
    <row r="3309" spans="1:27" ht="17">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5671</v>
      </c>
    </row>
    <row r="3310" spans="1:27" ht="17">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5671</v>
      </c>
    </row>
    <row r="3311" spans="1:27" ht="17">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5671</v>
      </c>
    </row>
    <row r="3312" spans="1:27" ht="17">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5671</v>
      </c>
    </row>
    <row r="3313" spans="1:29" ht="17">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5671</v>
      </c>
    </row>
    <row r="3314" spans="1:29" ht="17">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5671</v>
      </c>
    </row>
    <row r="3315" spans="1:29" ht="17">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5671</v>
      </c>
    </row>
    <row r="3316" spans="1:29" ht="1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5671</v>
      </c>
    </row>
    <row r="3317" spans="1:29" ht="17">
      <c r="A3317" s="2714"/>
      <c r="B3317" s="371"/>
      <c r="C3317" s="371" t="s">
        <v>2755</v>
      </c>
      <c r="D3317" s="371"/>
      <c r="F3317" s="294"/>
      <c r="G3317" s="301"/>
      <c r="H3317" s="315"/>
      <c r="I3317" s="315"/>
      <c r="J3317" s="349"/>
      <c r="K3317" s="349"/>
      <c r="L3317" s="291"/>
      <c r="M3317" s="291"/>
      <c r="S3317" s="364"/>
      <c r="Z3317" s="609" t="s">
        <v>1343</v>
      </c>
      <c r="AA3317" s="609" t="s">
        <v>5671</v>
      </c>
    </row>
    <row r="3318" spans="1:29" ht="17">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5672</v>
      </c>
    </row>
    <row r="3319" spans="1:29" ht="17">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5672</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5672</v>
      </c>
    </row>
    <row r="3321" spans="1:29" ht="26">
      <c r="A3321" s="2714"/>
      <c r="B3321" s="371"/>
      <c r="C3321" s="371"/>
      <c r="D3321" s="371"/>
      <c r="E3321" s="2716" t="s">
        <v>2749</v>
      </c>
      <c r="F3321" s="294"/>
      <c r="G3321" s="588" t="s">
        <v>1359</v>
      </c>
      <c r="H3321" s="1454" t="str">
        <f>$V$2</f>
        <v>2019年12月31日</v>
      </c>
      <c r="I3321" s="1455" t="str">
        <f>$V$3</f>
        <v>2018年12月31日</v>
      </c>
      <c r="J3321" s="355" t="s">
        <v>5299</v>
      </c>
      <c r="K3321" s="472"/>
      <c r="L3321" s="472"/>
      <c r="M3321" s="472"/>
      <c r="N3321" s="472"/>
      <c r="O3321" s="442"/>
      <c r="P3321" s="442"/>
      <c r="Q3321" s="442"/>
      <c r="R3321" s="443"/>
      <c r="S3321" s="364"/>
      <c r="Z3321" s="609" t="s">
        <v>3806</v>
      </c>
      <c r="AA3321" s="609" t="s">
        <v>5672</v>
      </c>
    </row>
    <row r="3322" spans="1:29" ht="17">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5672</v>
      </c>
      <c r="AC3322" s="369" t="s">
        <v>2794</v>
      </c>
    </row>
    <row r="3323" spans="1:29" ht="17">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5672</v>
      </c>
      <c r="AC3323" s="369" t="s">
        <v>2794</v>
      </c>
    </row>
    <row r="3324" spans="1:29" ht="17">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5672</v>
      </c>
    </row>
    <row r="3325" spans="1:29" ht="17">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5672</v>
      </c>
    </row>
    <row r="3326" spans="1:29" ht="17">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5672</v>
      </c>
    </row>
    <row r="3327" spans="1:29" ht="1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5672</v>
      </c>
    </row>
    <row r="3328" spans="1:29" ht="17">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5672</v>
      </c>
    </row>
    <row r="3329" spans="1:27" ht="26">
      <c r="A3329" s="2714" t="s">
        <v>1369</v>
      </c>
      <c r="B3329" s="371">
        <v>1.1000000000000001</v>
      </c>
      <c r="C3329" s="371"/>
      <c r="D3329" s="2716" t="str">
        <f>VLOOKUP($A3329,Sheet_NoteList,2,0)</f>
        <v>短期借款中的质押借款明细列示</v>
      </c>
      <c r="E3329" s="2716" t="s">
        <v>6533</v>
      </c>
      <c r="F3329" s="294"/>
      <c r="G3329" s="483" t="str">
        <f>"("&amp;B3329&amp;")"&amp;D3329</f>
        <v>(1.1)短期借款中的质押借款明细列示</v>
      </c>
      <c r="H3329" s="1517" t="str">
        <f>$A3329</f>
        <v>2001d</v>
      </c>
      <c r="I3329" s="343" t="s">
        <v>5966</v>
      </c>
      <c r="J3329" s="301" t="s">
        <v>5964</v>
      </c>
      <c r="K3329" s="2210">
        <f>H3337</f>
        <v>0</v>
      </c>
      <c r="L3329" s="345"/>
      <c r="M3329" s="301"/>
      <c r="N3329" s="391"/>
      <c r="O3329" s="345"/>
      <c r="P3329" s="301"/>
      <c r="S3329" s="364"/>
      <c r="Z3329" s="609" t="s">
        <v>3806</v>
      </c>
      <c r="AA3329" s="609" t="s">
        <v>5672</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5672</v>
      </c>
    </row>
    <row r="3331" spans="1:27" ht="17">
      <c r="A3331" s="2714"/>
      <c r="B3331" s="371"/>
      <c r="C3331" s="371"/>
      <c r="D3331" s="371"/>
      <c r="E3331" s="586" t="s">
        <v>2749</v>
      </c>
      <c r="F3331" s="363"/>
      <c r="G3331" s="2363" t="s">
        <v>1365</v>
      </c>
      <c r="H3331" s="2364" t="s">
        <v>3815</v>
      </c>
      <c r="I3331" s="2364" t="s">
        <v>3816</v>
      </c>
      <c r="J3331" s="2365" t="s">
        <v>3817</v>
      </c>
      <c r="K3331" s="355" t="s">
        <v>6177</v>
      </c>
      <c r="L3331" s="293"/>
      <c r="M3331" s="293"/>
      <c r="N3331" s="293"/>
      <c r="O3331" s="293"/>
      <c r="P3331" s="293"/>
      <c r="S3331" s="364"/>
      <c r="Z3331" s="609" t="s">
        <v>3806</v>
      </c>
      <c r="AA3331" s="609" t="s">
        <v>5672</v>
      </c>
    </row>
    <row r="3332" spans="1:27" ht="17">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5672</v>
      </c>
    </row>
    <row r="3333" spans="1:27" ht="17">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5672</v>
      </c>
    </row>
    <row r="3334" spans="1:27" ht="17">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5672</v>
      </c>
    </row>
    <row r="3335" spans="1:27" ht="17">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5672</v>
      </c>
    </row>
    <row r="3336" spans="1:27" ht="17">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5672</v>
      </c>
    </row>
    <row r="3337" spans="1:27" ht="1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5672</v>
      </c>
    </row>
    <row r="3338" spans="1:27" ht="17">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5672</v>
      </c>
    </row>
    <row r="3339" spans="1:27" ht="26">
      <c r="A3339" s="2714" t="s">
        <v>1375</v>
      </c>
      <c r="B3339" s="371">
        <v>1.2</v>
      </c>
      <c r="C3339" s="371"/>
      <c r="D3339" s="2716" t="str">
        <f>VLOOKUP($A3339,Sheet_NoteList,2,0)</f>
        <v>短期借款中的抵押借款明细列示</v>
      </c>
      <c r="E3339" s="2716" t="s">
        <v>6533</v>
      </c>
      <c r="F3339" s="294"/>
      <c r="G3339" s="483" t="str">
        <f>"("&amp;B3339&amp;")"&amp;D3339</f>
        <v>(1.2)短期借款中的抵押借款明细列示</v>
      </c>
      <c r="H3339" s="1517" t="str">
        <f>$A3339</f>
        <v>2001e</v>
      </c>
      <c r="I3339" s="343" t="s">
        <v>5966</v>
      </c>
      <c r="J3339" s="301" t="s">
        <v>5964</v>
      </c>
      <c r="K3339" s="2210">
        <f>H3347</f>
        <v>0</v>
      </c>
      <c r="L3339" s="345"/>
      <c r="M3339" s="301"/>
      <c r="N3339" s="391"/>
      <c r="O3339" s="345"/>
      <c r="P3339" s="301"/>
      <c r="S3339" s="364"/>
      <c r="Z3339" s="609" t="s">
        <v>3806</v>
      </c>
      <c r="AA3339" s="609" t="s">
        <v>5672</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5672</v>
      </c>
    </row>
    <row r="3341" spans="1:27" ht="17">
      <c r="A3341" s="2714"/>
      <c r="B3341" s="371"/>
      <c r="C3341" s="371"/>
      <c r="D3341" s="371"/>
      <c r="E3341" s="586" t="s">
        <v>2749</v>
      </c>
      <c r="F3341" s="363"/>
      <c r="G3341" s="2363" t="s">
        <v>1365</v>
      </c>
      <c r="H3341" s="2364" t="s">
        <v>3815</v>
      </c>
      <c r="I3341" s="2364" t="s">
        <v>3819</v>
      </c>
      <c r="J3341" s="2365" t="s">
        <v>3820</v>
      </c>
      <c r="K3341" s="355" t="s">
        <v>6177</v>
      </c>
      <c r="L3341" s="293"/>
      <c r="M3341" s="293"/>
      <c r="N3341" s="293"/>
      <c r="O3341" s="293"/>
      <c r="P3341" s="293"/>
      <c r="S3341" s="364"/>
      <c r="Z3341" s="609" t="s">
        <v>3806</v>
      </c>
      <c r="AA3341" s="609" t="s">
        <v>5672</v>
      </c>
    </row>
    <row r="3342" spans="1:27" ht="17">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5672</v>
      </c>
    </row>
    <row r="3343" spans="1:27" ht="17">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5672</v>
      </c>
    </row>
    <row r="3344" spans="1:27" ht="17">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5672</v>
      </c>
    </row>
    <row r="3345" spans="1:27" ht="17">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5672</v>
      </c>
    </row>
    <row r="3346" spans="1:27" ht="17">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5672</v>
      </c>
    </row>
    <row r="3347" spans="1:27" ht="1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5672</v>
      </c>
    </row>
    <row r="3348" spans="1:27" ht="17">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5672</v>
      </c>
    </row>
    <row r="3349" spans="1:27" ht="26">
      <c r="A3349" s="2714" t="s">
        <v>1380</v>
      </c>
      <c r="B3349" s="371">
        <v>1.3</v>
      </c>
      <c r="C3349" s="371"/>
      <c r="D3349" s="2716" t="str">
        <f>VLOOKUP($A3349,Sheet_NoteList,2,0)</f>
        <v>短期借款中的保证借款明细列示</v>
      </c>
      <c r="E3349" s="2716" t="s">
        <v>6533</v>
      </c>
      <c r="F3349" s="294"/>
      <c r="G3349" s="483" t="str">
        <f>"("&amp;B3349&amp;")"&amp;D3349</f>
        <v>(1.3)短期借款中的保证借款明细列示</v>
      </c>
      <c r="H3349" s="1517" t="str">
        <f>$A3349</f>
        <v>2001f</v>
      </c>
      <c r="I3349" s="343" t="s">
        <v>5967</v>
      </c>
      <c r="J3349" s="301" t="s">
        <v>5972</v>
      </c>
      <c r="K3349" s="2210">
        <f>H3357</f>
        <v>0</v>
      </c>
      <c r="L3349" s="345"/>
      <c r="M3349" s="301"/>
      <c r="N3349" s="391"/>
      <c r="O3349" s="345"/>
      <c r="P3349" s="301"/>
      <c r="S3349" s="364"/>
      <c r="Z3349" s="609" t="s">
        <v>3806</v>
      </c>
      <c r="AA3349" s="609" t="s">
        <v>5672</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5672</v>
      </c>
    </row>
    <row r="3351" spans="1:27" ht="17">
      <c r="A3351" s="2714"/>
      <c r="B3351" s="371"/>
      <c r="C3351" s="371"/>
      <c r="D3351" s="371"/>
      <c r="E3351" s="586" t="s">
        <v>2749</v>
      </c>
      <c r="F3351" s="363"/>
      <c r="G3351" s="2363" t="s">
        <v>1365</v>
      </c>
      <c r="H3351" s="2364" t="s">
        <v>3815</v>
      </c>
      <c r="I3351" s="2364" t="s">
        <v>3823</v>
      </c>
      <c r="J3351" s="2365" t="s">
        <v>3824</v>
      </c>
      <c r="K3351" s="355" t="s">
        <v>6177</v>
      </c>
      <c r="M3351" s="290"/>
      <c r="N3351" s="290"/>
      <c r="O3351" s="290"/>
      <c r="P3351" s="290"/>
      <c r="S3351" s="364"/>
      <c r="Z3351" s="609" t="s">
        <v>3806</v>
      </c>
      <c r="AA3351" s="609" t="s">
        <v>5672</v>
      </c>
    </row>
    <row r="3352" spans="1:27" ht="17">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5672</v>
      </c>
    </row>
    <row r="3353" spans="1:27" ht="17">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5672</v>
      </c>
    </row>
    <row r="3354" spans="1:27" ht="17">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5672</v>
      </c>
    </row>
    <row r="3355" spans="1:27" ht="17">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5672</v>
      </c>
    </row>
    <row r="3356" spans="1:27" ht="17">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5672</v>
      </c>
    </row>
    <row r="3357" spans="1:27" ht="1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5672</v>
      </c>
    </row>
    <row r="3358" spans="1:27" ht="17">
      <c r="A3358" s="2714"/>
      <c r="B3358" s="371"/>
      <c r="C3358" s="371" t="s">
        <v>2755</v>
      </c>
      <c r="D3358" s="371"/>
      <c r="F3358" s="294"/>
      <c r="G3358" s="301"/>
      <c r="H3358" s="315" t="s">
        <v>3002</v>
      </c>
      <c r="I3358" s="393"/>
      <c r="J3358" s="393"/>
      <c r="M3358" s="290"/>
      <c r="N3358" s="290"/>
      <c r="O3358" s="290"/>
      <c r="P3358" s="290"/>
      <c r="S3358" s="364"/>
      <c r="Z3358" s="609" t="s">
        <v>3806</v>
      </c>
      <c r="AA3358" s="609" t="s">
        <v>5672</v>
      </c>
    </row>
    <row r="3359" spans="1:27" ht="26">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4"/>
      <c r="O3359" s="315"/>
      <c r="P3359" s="301"/>
      <c r="Q3359" s="290" t="str">
        <f>IF($I3359="不适用","",IF(ROUND(SUM($H$3362:$K$3367),2)=0,"请输入",""))</f>
        <v>请输入</v>
      </c>
      <c r="S3359" s="364"/>
      <c r="Z3359" s="609" t="s">
        <v>3806</v>
      </c>
      <c r="AA3359" s="609" t="s">
        <v>5672</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5672</v>
      </c>
    </row>
    <row r="3361" spans="1:27" ht="26">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5299</v>
      </c>
      <c r="M3361" s="291"/>
      <c r="N3361" s="291"/>
      <c r="O3361" s="291"/>
      <c r="P3361" s="291"/>
      <c r="S3361" s="364"/>
      <c r="Z3361" s="609" t="s">
        <v>3806</v>
      </c>
      <c r="AA3361" s="609" t="s">
        <v>5672</v>
      </c>
    </row>
    <row r="3362" spans="1:27" ht="17">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5672</v>
      </c>
    </row>
    <row r="3363" spans="1:27" ht="17">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5672</v>
      </c>
    </row>
    <row r="3364" spans="1:27" ht="17">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5672</v>
      </c>
    </row>
    <row r="3365" spans="1:27" ht="17">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5672</v>
      </c>
    </row>
    <row r="3366" spans="1:27" ht="17">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5672</v>
      </c>
    </row>
    <row r="3367" spans="1:27" ht="1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5672</v>
      </c>
    </row>
    <row r="3368" spans="1:27" ht="26.5" thickBot="1">
      <c r="A3368" s="2714"/>
      <c r="B3368" s="371">
        <v>901</v>
      </c>
      <c r="C3368" s="371"/>
      <c r="D3368" s="371"/>
      <c r="E3368" s="2716" t="s">
        <v>2753</v>
      </c>
      <c r="F3368" s="294"/>
      <c r="G3368" s="2385" t="s">
        <v>6069</v>
      </c>
      <c r="H3368" s="2395"/>
      <c r="I3368" s="432"/>
      <c r="J3368" s="425"/>
      <c r="K3368" s="426"/>
      <c r="L3368" s="427"/>
      <c r="M3368" s="425"/>
      <c r="N3368" s="426"/>
      <c r="O3368" s="427"/>
      <c r="P3368" s="425"/>
      <c r="S3368" s="364"/>
      <c r="Z3368" s="609" t="s">
        <v>3806</v>
      </c>
      <c r="AA3368" s="609" t="s">
        <v>5672</v>
      </c>
    </row>
    <row r="3369" spans="1:27" ht="17">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5672</v>
      </c>
    </row>
    <row r="3370" spans="1:27" ht="17">
      <c r="A3370" s="2714" t="s">
        <v>1385</v>
      </c>
      <c r="B3370" s="371">
        <v>3</v>
      </c>
      <c r="C3370" s="371"/>
      <c r="D3370" s="2716" t="str">
        <f>VLOOKUP($A3370,Sheet_NoteList,2,0)</f>
        <v>外币短期借款</v>
      </c>
      <c r="E3370" s="2716" t="s">
        <v>6533</v>
      </c>
      <c r="F3370" s="294"/>
      <c r="G3370" s="372" t="str">
        <f>"("&amp;B3370&amp;")"&amp;D3370</f>
        <v>(3)外币短期借款</v>
      </c>
      <c r="H3370" s="1517" t="str">
        <f>$A3370</f>
        <v>2001c</v>
      </c>
      <c r="I3370" s="343" t="s">
        <v>5577</v>
      </c>
      <c r="J3370" s="301" t="s">
        <v>5575</v>
      </c>
      <c r="K3370" s="2210">
        <f>J3378</f>
        <v>0</v>
      </c>
      <c r="L3370" s="345"/>
      <c r="M3370" s="301" t="s">
        <v>5576</v>
      </c>
      <c r="N3370" s="2210">
        <f>L3378</f>
        <v>0</v>
      </c>
      <c r="O3370" s="345"/>
      <c r="P3370" s="301"/>
      <c r="Q3370" s="290" t="str">
        <f>IF($I3370="不适用","",IF(ROUND(SUM($H$3373:$J$3378),2)=0,"请输入",""))</f>
        <v>请输入</v>
      </c>
      <c r="S3370" s="364"/>
      <c r="Z3370" s="609" t="s">
        <v>3806</v>
      </c>
      <c r="AA3370" s="609" t="s">
        <v>5672</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5672</v>
      </c>
    </row>
    <row r="3372" spans="1:27" ht="26">
      <c r="A3372" s="2714"/>
      <c r="B3372" s="371"/>
      <c r="C3372" s="371"/>
      <c r="D3372" s="371"/>
      <c r="E3372" s="2716" t="s">
        <v>2749</v>
      </c>
      <c r="F3372" s="294"/>
      <c r="G3372" s="1621" t="s">
        <v>1371</v>
      </c>
      <c r="H3372" s="1619" t="s">
        <v>3076</v>
      </c>
      <c r="I3372" s="1619" t="s">
        <v>3077</v>
      </c>
      <c r="J3372" s="1620" t="s">
        <v>3078</v>
      </c>
      <c r="K3372" s="355" t="s">
        <v>5605</v>
      </c>
      <c r="L3372" s="291"/>
      <c r="N3372" s="291"/>
      <c r="O3372" s="291"/>
      <c r="P3372" s="291"/>
      <c r="Q3372" s="367"/>
      <c r="R3372" s="367"/>
      <c r="S3372" s="364"/>
      <c r="Z3372" s="609" t="s">
        <v>3806</v>
      </c>
      <c r="AA3372" s="609" t="s">
        <v>5672</v>
      </c>
    </row>
    <row r="3373" spans="1:27" ht="17">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5365</v>
      </c>
      <c r="L3373" s="1522" t="s">
        <v>5366</v>
      </c>
      <c r="M3373" s="291"/>
      <c r="N3373" s="291"/>
      <c r="O3373" s="291"/>
      <c r="P3373" s="291"/>
      <c r="S3373" s="364"/>
      <c r="Z3373" s="609" t="s">
        <v>3806</v>
      </c>
      <c r="AA3373" s="609" t="s">
        <v>5672</v>
      </c>
    </row>
    <row r="3374" spans="1:27" ht="17">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5672</v>
      </c>
    </row>
    <row r="3375" spans="1:27" ht="17">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5672</v>
      </c>
    </row>
    <row r="3376" spans="1:27" ht="17">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5672</v>
      </c>
    </row>
    <row r="3377" spans="1:27" ht="17">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5672</v>
      </c>
    </row>
    <row r="3378" spans="1:27" ht="1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5672</v>
      </c>
    </row>
    <row r="3379" spans="1:27" ht="17">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5672</v>
      </c>
    </row>
    <row r="3380" spans="1:27" ht="17">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7">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26">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5300</v>
      </c>
      <c r="M3383" s="435"/>
      <c r="N3383" s="434"/>
      <c r="O3383" s="434"/>
      <c r="P3383" s="435"/>
      <c r="Q3383" s="442"/>
      <c r="R3383" s="443"/>
      <c r="S3383" s="364"/>
      <c r="Z3383" s="609" t="s">
        <v>3831</v>
      </c>
      <c r="AA3383" s="609" t="s">
        <v>3832</v>
      </c>
    </row>
    <row r="3384" spans="1:27" ht="17">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7">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7">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7">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6">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7">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7">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7">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7">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9">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52">
      <c r="A3396" s="2714"/>
      <c r="B3396" s="371"/>
      <c r="C3396" s="371"/>
      <c r="D3396" s="2716"/>
      <c r="E3396" s="2716" t="s">
        <v>2749</v>
      </c>
      <c r="F3396" s="293"/>
      <c r="G3396" s="2305" t="s">
        <v>47</v>
      </c>
      <c r="H3396" s="2397" t="s">
        <v>6072</v>
      </c>
      <c r="I3396" s="2291" t="s">
        <v>3836</v>
      </c>
      <c r="J3396" s="2293" t="s">
        <v>3837</v>
      </c>
      <c r="K3396" s="355" t="s">
        <v>5300</v>
      </c>
      <c r="L3396" s="434"/>
      <c r="M3396" s="435"/>
      <c r="N3396" s="434"/>
      <c r="O3396" s="434"/>
      <c r="P3396" s="435"/>
      <c r="Q3396" s="442"/>
      <c r="R3396" s="443"/>
      <c r="S3396" s="364"/>
      <c r="Z3396" s="609" t="s">
        <v>3831</v>
      </c>
      <c r="AA3396" s="609" t="s">
        <v>3832</v>
      </c>
    </row>
    <row r="3397" spans="1:27" ht="17">
      <c r="A3397" s="2714"/>
      <c r="B3397" s="371">
        <v>101</v>
      </c>
      <c r="C3397" s="371"/>
      <c r="D3397" s="2716">
        <f t="shared" ref="D3397:D3405" si="392">IF(OR(G3397="*",G3397="",G3397=0),0,COUNTIF($G$3397:$G$3405,G3397))</f>
        <v>1</v>
      </c>
      <c r="E3397" s="2721">
        <v>1</v>
      </c>
      <c r="F3397" s="293"/>
      <c r="G3397" s="308" t="s">
        <v>3838</v>
      </c>
      <c r="H3397" s="309"/>
      <c r="I3397" s="422"/>
      <c r="J3397" s="346"/>
      <c r="K3397" s="355" t="s">
        <v>6073</v>
      </c>
      <c r="L3397" s="437"/>
      <c r="M3397" s="438"/>
      <c r="N3397" s="439"/>
      <c r="O3397" s="437"/>
      <c r="P3397" s="438"/>
      <c r="Q3397" s="442"/>
      <c r="R3397" s="443"/>
      <c r="S3397" s="364"/>
      <c r="Z3397" s="609" t="s">
        <v>3831</v>
      </c>
      <c r="AA3397" s="609" t="s">
        <v>3832</v>
      </c>
    </row>
    <row r="3398" spans="1:27" ht="17">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7">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7">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7">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7">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7">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7">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5.5" thickBot="1">
      <c r="A3406" s="2714"/>
      <c r="B3406" s="371">
        <v>901</v>
      </c>
      <c r="C3406" s="371"/>
      <c r="D3406" s="371"/>
      <c r="E3406" s="2716" t="s">
        <v>2753</v>
      </c>
      <c r="F3406" s="294"/>
      <c r="G3406" s="2396" t="s">
        <v>6070</v>
      </c>
      <c r="H3406" s="2395"/>
      <c r="I3406" s="432"/>
      <c r="J3406" s="425"/>
      <c r="K3406" s="355" t="s">
        <v>6071</v>
      </c>
      <c r="L3406" s="427"/>
      <c r="M3406" s="425"/>
      <c r="N3406" s="426"/>
      <c r="O3406" s="427"/>
      <c r="P3406" s="425"/>
      <c r="S3406" s="364"/>
      <c r="Z3406" s="609" t="s">
        <v>3831</v>
      </c>
      <c r="AA3406" s="609" t="s">
        <v>3832</v>
      </c>
    </row>
    <row r="3407" spans="1:27" ht="17">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6">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6578</v>
      </c>
    </row>
    <row r="3409" spans="1:27" ht="39">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6578</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6578</v>
      </c>
    </row>
    <row r="3411" spans="1:27" ht="26">
      <c r="A3411" s="2714"/>
      <c r="B3411" s="371"/>
      <c r="C3411" s="371"/>
      <c r="D3411" s="371"/>
      <c r="E3411" s="586" t="s">
        <v>2749</v>
      </c>
      <c r="F3411" s="363"/>
      <c r="G3411" s="2541" t="s">
        <v>47</v>
      </c>
      <c r="H3411" s="2553" t="str">
        <f>$V$2</f>
        <v>2019年12月31日</v>
      </c>
      <c r="I3411" s="2554" t="str">
        <f>$V$3</f>
        <v>2018年12月31日</v>
      </c>
      <c r="J3411" s="355" t="s">
        <v>5301</v>
      </c>
      <c r="K3411" s="291"/>
      <c r="L3411" s="291"/>
      <c r="M3411" s="291"/>
      <c r="S3411" s="364"/>
      <c r="Z3411" s="609" t="s">
        <v>3839</v>
      </c>
      <c r="AA3411" s="2720" t="s">
        <v>6578</v>
      </c>
    </row>
    <row r="3412" spans="1:27" ht="17">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6578</v>
      </c>
    </row>
    <row r="3413" spans="1:27" ht="17">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6578</v>
      </c>
    </row>
    <row r="3414" spans="1:27" ht="17">
      <c r="A3414" s="2714"/>
      <c r="B3414" s="371">
        <v>103</v>
      </c>
      <c r="C3414" s="371" t="s">
        <v>2791</v>
      </c>
      <c r="D3414" s="2716">
        <f t="shared" si="393"/>
        <v>1</v>
      </c>
      <c r="E3414" s="2721">
        <v>1</v>
      </c>
      <c r="F3414" s="294"/>
      <c r="G3414" s="578" t="s">
        <v>467</v>
      </c>
      <c r="H3414" s="2299">
        <v>0</v>
      </c>
      <c r="I3414" s="2296"/>
      <c r="J3414" s="355" t="s">
        <v>6124</v>
      </c>
      <c r="K3414" s="291"/>
      <c r="L3414" s="291"/>
      <c r="M3414" s="291"/>
      <c r="S3414" s="364"/>
      <c r="Z3414" s="609" t="s">
        <v>3839</v>
      </c>
      <c r="AA3414" s="2720" t="s">
        <v>6578</v>
      </c>
    </row>
    <row r="3415" spans="1:27" ht="17">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6578</v>
      </c>
    </row>
    <row r="3416" spans="1:27" ht="39">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6578</v>
      </c>
    </row>
    <row r="3417" spans="1:27" ht="17">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6578</v>
      </c>
    </row>
    <row r="3418" spans="1:27" ht="1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6578</v>
      </c>
    </row>
    <row r="3419" spans="1:27" ht="17">
      <c r="A3419" s="2714"/>
      <c r="B3419" s="371"/>
      <c r="C3419" s="371" t="s">
        <v>2755</v>
      </c>
      <c r="D3419" s="371"/>
      <c r="F3419" s="294"/>
      <c r="G3419" s="301"/>
      <c r="H3419" s="315"/>
      <c r="I3419" s="315"/>
      <c r="J3419" s="291"/>
      <c r="K3419" s="291"/>
      <c r="L3419" s="291"/>
      <c r="M3419" s="291"/>
      <c r="S3419" s="364"/>
      <c r="Z3419" s="609" t="s">
        <v>3839</v>
      </c>
      <c r="AA3419" s="2720" t="s">
        <v>6578</v>
      </c>
    </row>
    <row r="3420" spans="1:27" ht="17">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5674</v>
      </c>
    </row>
    <row r="3421" spans="1:27" ht="17">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5674</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5674</v>
      </c>
    </row>
    <row r="3423" spans="1:27" ht="26">
      <c r="A3423" s="2714"/>
      <c r="B3423" s="371"/>
      <c r="C3423" s="371"/>
      <c r="D3423" s="371"/>
      <c r="E3423" s="2716" t="s">
        <v>2749</v>
      </c>
      <c r="F3423" s="294"/>
      <c r="G3423" s="410" t="s">
        <v>47</v>
      </c>
      <c r="H3423" s="1454" t="str">
        <f>$V$2</f>
        <v>2019年12月31日</v>
      </c>
      <c r="I3423" s="1455" t="str">
        <f>$V$3</f>
        <v>2018年12月31日</v>
      </c>
      <c r="J3423" s="355" t="s">
        <v>5302</v>
      </c>
      <c r="K3423" s="291"/>
      <c r="L3423" s="291"/>
      <c r="M3423" s="291"/>
      <c r="S3423" s="364"/>
      <c r="Z3423" s="609" t="s">
        <v>3843</v>
      </c>
      <c r="AA3423" s="609" t="s">
        <v>5674</v>
      </c>
    </row>
    <row r="3424" spans="1:27" ht="17">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5674</v>
      </c>
    </row>
    <row r="3425" spans="1:31" ht="17">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5674</v>
      </c>
    </row>
    <row r="3426" spans="1:31" ht="17">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5674</v>
      </c>
    </row>
    <row r="3427" spans="1:31" ht="17">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5674</v>
      </c>
    </row>
    <row r="3428" spans="1:31" ht="17">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5674</v>
      </c>
    </row>
    <row r="3429" spans="1:31" ht="1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5674</v>
      </c>
    </row>
    <row r="3430" spans="1:31" ht="17">
      <c r="A3430" s="2714"/>
      <c r="B3430" s="371"/>
      <c r="C3430" s="371" t="s">
        <v>2755</v>
      </c>
      <c r="D3430" s="371"/>
      <c r="F3430" s="294"/>
      <c r="G3430" s="301"/>
      <c r="H3430" s="315"/>
      <c r="I3430" s="315"/>
      <c r="J3430" s="291"/>
      <c r="K3430" s="291"/>
      <c r="L3430" s="291"/>
      <c r="M3430" s="291"/>
      <c r="S3430" s="364"/>
      <c r="Z3430" s="609" t="s">
        <v>3843</v>
      </c>
      <c r="AA3430" s="609" t="s">
        <v>5674</v>
      </c>
    </row>
    <row r="3431" spans="1:31" ht="17">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5675</v>
      </c>
    </row>
    <row r="3432" spans="1:31" ht="17">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5675</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5675</v>
      </c>
    </row>
    <row r="3434" spans="1:31" ht="26">
      <c r="A3434" s="2714"/>
      <c r="B3434" s="371"/>
      <c r="C3434" s="371"/>
      <c r="D3434" s="371"/>
      <c r="E3434" s="2716" t="s">
        <v>2749</v>
      </c>
      <c r="F3434" s="294"/>
      <c r="G3434" s="410" t="s">
        <v>1412</v>
      </c>
      <c r="H3434" s="1454" t="str">
        <f>$V$2</f>
        <v>2019年12月31日</v>
      </c>
      <c r="I3434" s="1455" t="str">
        <f>$V$3</f>
        <v>2018年12月31日</v>
      </c>
      <c r="J3434" s="355" t="s">
        <v>5303</v>
      </c>
      <c r="K3434" s="472"/>
      <c r="L3434" s="472"/>
      <c r="M3434" s="472"/>
      <c r="N3434" s="472"/>
      <c r="O3434" s="442"/>
      <c r="P3434" s="442"/>
      <c r="Q3434" s="442"/>
      <c r="R3434" s="443"/>
      <c r="S3434" s="364"/>
      <c r="Z3434" s="609" t="s">
        <v>3845</v>
      </c>
      <c r="AA3434" s="609" t="s">
        <v>5675</v>
      </c>
    </row>
    <row r="3435" spans="1:31" ht="17">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5675</v>
      </c>
    </row>
    <row r="3436" spans="1:31" ht="17">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5675</v>
      </c>
    </row>
    <row r="3437" spans="1:31" ht="17">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5675</v>
      </c>
    </row>
    <row r="3438" spans="1:31" ht="17">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5675</v>
      </c>
    </row>
    <row r="3439" spans="1:31" ht="1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5675</v>
      </c>
    </row>
    <row r="3440" spans="1:31" s="288" customFormat="1" ht="26.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5675</v>
      </c>
      <c r="AB3440" s="369"/>
      <c r="AC3440" s="369"/>
      <c r="AD3440" s="369"/>
      <c r="AE3440" s="369"/>
    </row>
    <row r="3441" spans="1:31" s="288" customFormat="1" ht="17">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5675</v>
      </c>
      <c r="AB3441" s="369"/>
      <c r="AC3441" s="369"/>
      <c r="AD3441" s="369"/>
      <c r="AE3441" s="369"/>
    </row>
    <row r="3442" spans="1:31" ht="17">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0</v>
      </c>
      <c r="O3442" s="306"/>
      <c r="P3442" s="301"/>
      <c r="S3442" s="364"/>
      <c r="Z3442" s="609" t="s">
        <v>3848</v>
      </c>
      <c r="AA3442" s="609" t="s">
        <v>5676</v>
      </c>
    </row>
    <row r="3443" spans="1:31" ht="17">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t="str">
        <f>IF($I3443="适用",IF(ROUND(N$3442-N3443,2)=0,"F/S",ROUND(N$3442-N3443,2)),"#N/A")</f>
        <v>F/S</v>
      </c>
      <c r="P3443" s="301"/>
      <c r="Q3443" s="290" t="str">
        <f>IF($I3443="不适用","",IF(ROUND(SUM($H$3446:$I$3452),2)=0,"请输入",""))</f>
        <v>请输入</v>
      </c>
      <c r="S3443" s="364"/>
      <c r="Z3443" s="609" t="s">
        <v>3848</v>
      </c>
      <c r="AA3443" s="609" t="s">
        <v>5676</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5676</v>
      </c>
    </row>
    <row r="3445" spans="1:31" ht="26">
      <c r="A3445" s="2714"/>
      <c r="B3445" s="371"/>
      <c r="C3445" s="371"/>
      <c r="D3445" s="371"/>
      <c r="E3445" s="586" t="s">
        <v>2749</v>
      </c>
      <c r="F3445" s="363"/>
      <c r="G3445" s="2362" t="s">
        <v>47</v>
      </c>
      <c r="H3445" s="2225" t="str">
        <f>$V$2</f>
        <v>2019年12月31日</v>
      </c>
      <c r="I3445" s="2226" t="str">
        <f>$V$3</f>
        <v>2018年12月31日</v>
      </c>
      <c r="J3445" s="355" t="s">
        <v>5304</v>
      </c>
      <c r="K3445" s="291"/>
      <c r="L3445" s="291"/>
      <c r="M3445" s="291"/>
      <c r="S3445" s="364"/>
      <c r="Z3445" s="609" t="s">
        <v>3848</v>
      </c>
      <c r="AA3445" s="609" t="s">
        <v>5676</v>
      </c>
    </row>
    <row r="3446" spans="1:31" ht="17">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5676</v>
      </c>
    </row>
    <row r="3447" spans="1:31" ht="17">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5676</v>
      </c>
    </row>
    <row r="3448" spans="1:31" ht="17">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5676</v>
      </c>
    </row>
    <row r="3449" spans="1:31" ht="17">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5676</v>
      </c>
    </row>
    <row r="3450" spans="1:31" ht="17">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5676</v>
      </c>
    </row>
    <row r="3451" spans="1:31" ht="17">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5676</v>
      </c>
    </row>
    <row r="3452" spans="1:31" ht="1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5676</v>
      </c>
      <c r="AC3452" s="369" t="s">
        <v>6575</v>
      </c>
    </row>
    <row r="3453" spans="1:31" ht="17">
      <c r="A3453" s="2714"/>
      <c r="B3453" s="371"/>
      <c r="C3453" s="371" t="s">
        <v>2755</v>
      </c>
      <c r="D3453" s="371"/>
      <c r="F3453" s="294"/>
      <c r="G3453" s="301"/>
      <c r="H3453" s="315"/>
      <c r="I3453" s="315"/>
      <c r="J3453" s="291"/>
      <c r="K3453" s="291"/>
      <c r="L3453" s="291"/>
      <c r="M3453" s="291"/>
      <c r="S3453" s="364"/>
      <c r="Z3453" s="609" t="s">
        <v>3848</v>
      </c>
      <c r="AA3453" s="609" t="s">
        <v>5676</v>
      </c>
    </row>
    <row r="3454" spans="1:31" ht="17">
      <c r="A3454" s="2714" t="s">
        <v>1427</v>
      </c>
      <c r="B3454" s="371">
        <v>2</v>
      </c>
      <c r="C3454" s="371"/>
      <c r="D3454" s="2716" t="str">
        <f>VLOOKUP($A3454,Sheet_NoteList,2,0)</f>
        <v>应付账款按账龄列示</v>
      </c>
      <c r="E3454" s="2716" t="s">
        <v>6533</v>
      </c>
      <c r="F3454" s="294"/>
      <c r="G3454" s="307" t="str">
        <f>"("&amp;B3454&amp;")"&amp;D3454</f>
        <v>(2)应付账款按账龄列示</v>
      </c>
      <c r="H3454" s="1517" t="str">
        <f>$A3454</f>
        <v>2202f</v>
      </c>
      <c r="I3454" s="343" t="s">
        <v>5564</v>
      </c>
      <c r="J3454" s="301" t="s">
        <v>5562</v>
      </c>
      <c r="K3454" s="2210">
        <f>H3462</f>
        <v>0</v>
      </c>
      <c r="L3454" s="345" t="str">
        <f>IF($I3454="适用",IF(ROUND(K$3442-K3454,2)=0,"F/S",ROUND(K$3442-K3454,2)),"#N/A")</f>
        <v>F/S</v>
      </c>
      <c r="M3454" s="301" t="s">
        <v>5563</v>
      </c>
      <c r="N3454" s="2210">
        <f>I3462</f>
        <v>0</v>
      </c>
      <c r="O3454" s="345" t="str">
        <f>IF($I3454="适用",IF(ROUND(N$3442-N3454,2)=0,"F/S",ROUND(N$3442-N3454,2)),"#N/A")</f>
        <v>F/S</v>
      </c>
      <c r="P3454" s="301"/>
      <c r="S3454" s="364"/>
      <c r="Z3454" s="609" t="s">
        <v>3848</v>
      </c>
      <c r="AA3454" s="609" t="s">
        <v>5676</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5676</v>
      </c>
    </row>
    <row r="3456" spans="1:31" ht="17">
      <c r="A3456" s="2714"/>
      <c r="B3456" s="371"/>
      <c r="C3456" s="371"/>
      <c r="D3456" s="371"/>
      <c r="E3456" s="2716" t="s">
        <v>2749</v>
      </c>
      <c r="F3456" s="294"/>
      <c r="G3456" s="1615" t="s">
        <v>1439</v>
      </c>
      <c r="H3456" s="1613" t="s">
        <v>2775</v>
      </c>
      <c r="I3456" s="1614" t="s">
        <v>2776</v>
      </c>
      <c r="J3456" s="355" t="s">
        <v>6177</v>
      </c>
      <c r="K3456" s="291"/>
      <c r="L3456" s="291"/>
      <c r="M3456" s="291"/>
      <c r="S3456" s="364"/>
      <c r="Z3456" s="609" t="s">
        <v>3848</v>
      </c>
      <c r="AA3456" s="609" t="s">
        <v>5676</v>
      </c>
    </row>
    <row r="3457" spans="1:27" ht="17">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5676</v>
      </c>
    </row>
    <row r="3458" spans="1:27" ht="17">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5676</v>
      </c>
    </row>
    <row r="3459" spans="1:27" ht="17">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5676</v>
      </c>
    </row>
    <row r="3460" spans="1:27" ht="17">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5676</v>
      </c>
    </row>
    <row r="3461" spans="1:27" ht="17">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5676</v>
      </c>
    </row>
    <row r="3462" spans="1:27" ht="1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5676</v>
      </c>
    </row>
    <row r="3463" spans="1:27" ht="1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5676</v>
      </c>
    </row>
    <row r="3464" spans="1:27" ht="17.5" thickTop="1">
      <c r="A3464" s="2714"/>
      <c r="B3464" s="371"/>
      <c r="C3464" s="371" t="s">
        <v>2565</v>
      </c>
      <c r="D3464" s="371"/>
      <c r="F3464" s="294"/>
      <c r="G3464" s="1561" t="s">
        <v>5368</v>
      </c>
      <c r="H3464" s="1550" t="str">
        <f>G3443</f>
        <v>(1)应付账款按性质列示</v>
      </c>
      <c r="I3464" s="1552"/>
      <c r="J3464" s="1553" t="s">
        <v>5369</v>
      </c>
      <c r="K3464" s="291"/>
      <c r="L3464" s="291"/>
      <c r="M3464" s="291"/>
      <c r="S3464" s="364"/>
      <c r="Z3464" s="609" t="s">
        <v>3848</v>
      </c>
      <c r="AA3464" s="609" t="s">
        <v>5676</v>
      </c>
    </row>
    <row r="3465" spans="1:27" ht="17">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5676</v>
      </c>
    </row>
    <row r="3466" spans="1:27" ht="17">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5676</v>
      </c>
    </row>
    <row r="3467" spans="1:27" ht="1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5676</v>
      </c>
    </row>
    <row r="3468" spans="1:27" ht="1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5676</v>
      </c>
    </row>
    <row r="3469" spans="1:27" ht="17">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5676</v>
      </c>
    </row>
    <row r="3470" spans="1:27" ht="17">
      <c r="A3470" s="2714"/>
      <c r="B3470" s="371"/>
      <c r="C3470" s="371" t="s">
        <v>2565</v>
      </c>
      <c r="D3470" s="371"/>
      <c r="F3470" s="294"/>
      <c r="G3470" s="354"/>
      <c r="H3470" s="461"/>
      <c r="I3470" s="461"/>
      <c r="J3470" s="354"/>
      <c r="K3470" s="291"/>
      <c r="L3470" s="291"/>
      <c r="M3470" s="291"/>
      <c r="S3470" s="364"/>
      <c r="Z3470" s="609" t="s">
        <v>3848</v>
      </c>
      <c r="AA3470" s="609" t="s">
        <v>5676</v>
      </c>
    </row>
    <row r="3471" spans="1:27" ht="26">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4"/>
      <c r="O3471" s="315"/>
      <c r="P3471" s="301"/>
      <c r="Q3471" s="290" t="str">
        <f>IF($I3471="不适用","",IF(ROUND(SUM($H$3474:$I$3479),2)=0,"请输入",""))</f>
        <v>请输入</v>
      </c>
      <c r="S3471" s="364"/>
      <c r="Z3471" s="609" t="s">
        <v>3848</v>
      </c>
      <c r="AA3471" s="609" t="s">
        <v>5676</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5676</v>
      </c>
    </row>
    <row r="3473" spans="1:27" ht="26">
      <c r="A3473" s="2714"/>
      <c r="B3473" s="371"/>
      <c r="C3473" s="371"/>
      <c r="D3473" s="371"/>
      <c r="E3473" s="586" t="s">
        <v>2749</v>
      </c>
      <c r="F3473" s="363"/>
      <c r="G3473" s="2362" t="s">
        <v>47</v>
      </c>
      <c r="H3473" s="2475" t="str">
        <f>$V$2</f>
        <v>2019年12月31日</v>
      </c>
      <c r="I3473" s="2373" t="s">
        <v>3860</v>
      </c>
      <c r="J3473" s="355" t="s">
        <v>5304</v>
      </c>
      <c r="K3473" s="291"/>
      <c r="L3473" s="291"/>
      <c r="M3473" s="291"/>
      <c r="N3473" s="291"/>
      <c r="S3473" s="364"/>
      <c r="Z3473" s="609" t="s">
        <v>3848</v>
      </c>
      <c r="AA3473" s="609" t="s">
        <v>5676</v>
      </c>
    </row>
    <row r="3474" spans="1:27" ht="17">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5676</v>
      </c>
    </row>
    <row r="3475" spans="1:27" ht="17">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5676</v>
      </c>
    </row>
    <row r="3476" spans="1:27" ht="17">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5676</v>
      </c>
    </row>
    <row r="3477" spans="1:27" ht="17">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5676</v>
      </c>
    </row>
    <row r="3478" spans="1:27" ht="17">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5676</v>
      </c>
    </row>
    <row r="3479" spans="1:27" ht="1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5676</v>
      </c>
    </row>
    <row r="3480" spans="1:27" ht="17">
      <c r="A3480" s="2714"/>
      <c r="B3480" s="371"/>
      <c r="C3480" s="371" t="s">
        <v>2755</v>
      </c>
      <c r="D3480" s="371"/>
      <c r="F3480" s="294"/>
      <c r="G3480" s="301"/>
      <c r="H3480" s="315"/>
      <c r="I3480" s="393"/>
      <c r="J3480" s="350"/>
      <c r="K3480" s="291"/>
      <c r="L3480" s="291"/>
      <c r="M3480" s="291"/>
      <c r="N3480" s="291"/>
      <c r="S3480" s="364"/>
      <c r="Z3480" s="609" t="s">
        <v>3848</v>
      </c>
      <c r="AA3480" s="609" t="s">
        <v>5676</v>
      </c>
    </row>
    <row r="3481" spans="1:27" ht="17">
      <c r="A3481" s="2714" t="s">
        <v>1437</v>
      </c>
      <c r="B3481" s="371">
        <v>4</v>
      </c>
      <c r="C3481" s="371"/>
      <c r="D3481" s="2716" t="str">
        <f>VLOOKUP($A3481,Sheet_NoteList,2,0)</f>
        <v>外币应付账款</v>
      </c>
      <c r="E3481" s="2716" t="s">
        <v>6533</v>
      </c>
      <c r="F3481" s="294"/>
      <c r="G3481" s="307" t="str">
        <f>"("&amp;B3481&amp;")"&amp;D3481</f>
        <v>(4)外币应付账款</v>
      </c>
      <c r="H3481" s="1517" t="str">
        <f>$A3481</f>
        <v>2202d</v>
      </c>
      <c r="I3481" s="343" t="s">
        <v>5579</v>
      </c>
      <c r="J3481" s="301" t="s">
        <v>5578</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5676</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5676</v>
      </c>
    </row>
    <row r="3483" spans="1:27" ht="26">
      <c r="A3483" s="2714"/>
      <c r="B3483" s="371"/>
      <c r="C3483" s="371"/>
      <c r="D3483" s="371"/>
      <c r="E3483" s="2716" t="s">
        <v>2749</v>
      </c>
      <c r="F3483" s="294"/>
      <c r="G3483" s="1624" t="s">
        <v>1371</v>
      </c>
      <c r="H3483" s="1622" t="s">
        <v>3076</v>
      </c>
      <c r="I3483" s="1622" t="s">
        <v>3077</v>
      </c>
      <c r="J3483" s="1623" t="s">
        <v>3078</v>
      </c>
      <c r="K3483" s="355" t="s">
        <v>5605</v>
      </c>
      <c r="L3483" s="291"/>
      <c r="M3483" s="291"/>
      <c r="N3483" s="291"/>
      <c r="O3483" s="291"/>
      <c r="P3483" s="291"/>
      <c r="Q3483" s="367"/>
      <c r="R3483" s="367"/>
      <c r="S3483" s="364"/>
      <c r="Z3483" s="609" t="s">
        <v>3848</v>
      </c>
      <c r="AA3483" s="609" t="s">
        <v>5676</v>
      </c>
    </row>
    <row r="3484" spans="1:27" ht="17">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5365</v>
      </c>
      <c r="L3484" s="1522" t="s">
        <v>5366</v>
      </c>
      <c r="M3484" s="291"/>
      <c r="N3484" s="291"/>
      <c r="O3484" s="291"/>
      <c r="P3484" s="291"/>
      <c r="Q3484" s="367"/>
      <c r="R3484" s="367"/>
      <c r="S3484" s="364"/>
      <c r="Z3484" s="609" t="s">
        <v>3848</v>
      </c>
      <c r="AA3484" s="609" t="s">
        <v>5676</v>
      </c>
    </row>
    <row r="3485" spans="1:27" ht="17">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5676</v>
      </c>
    </row>
    <row r="3486" spans="1:27" ht="17">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5676</v>
      </c>
    </row>
    <row r="3487" spans="1:27" ht="17">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5676</v>
      </c>
    </row>
    <row r="3488" spans="1:27" ht="17">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5676</v>
      </c>
    </row>
    <row r="3489" spans="1:27" ht="1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5676</v>
      </c>
    </row>
    <row r="3490" spans="1:27" ht="17">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5676</v>
      </c>
    </row>
    <row r="3491" spans="1:27" ht="26">
      <c r="A3491" s="2714" t="s">
        <v>1432</v>
      </c>
      <c r="B3491" s="371">
        <v>5</v>
      </c>
      <c r="C3491" s="371"/>
      <c r="D3491" s="2716" t="str">
        <f>VLOOKUP($A3491,Sheet_NoteList,2,0)</f>
        <v>关联方应收应付款项——应付账款</v>
      </c>
      <c r="E3491" s="2716" t="s">
        <v>6533</v>
      </c>
      <c r="F3491" s="294"/>
      <c r="G3491" s="372" t="str">
        <f>"("&amp;B3491&amp;")"&amp;D3491</f>
        <v>(5)关联方应收应付款项——应付账款</v>
      </c>
      <c r="H3491" s="1517" t="str">
        <f>$A3491</f>
        <v>2202c</v>
      </c>
      <c r="I3491" s="343" t="s">
        <v>5613</v>
      </c>
      <c r="J3491" s="301"/>
      <c r="K3491" s="3084"/>
      <c r="L3491" s="315"/>
      <c r="M3491" s="301"/>
      <c r="N3491" s="3084"/>
      <c r="O3491" s="315"/>
      <c r="P3491" s="301"/>
      <c r="Q3491" s="290" t="str">
        <f>IF($I3491="不适用","",IF(ROUND(SUM($H$3494:$I$3499),2)=0,"请输入",""))</f>
        <v>请输入</v>
      </c>
      <c r="S3491" s="364"/>
      <c r="Z3491" s="609" t="s">
        <v>3848</v>
      </c>
      <c r="AA3491" s="609" t="s">
        <v>5676</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5676</v>
      </c>
    </row>
    <row r="3493" spans="1:27" ht="17">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5676</v>
      </c>
    </row>
    <row r="3494" spans="1:27" ht="17">
      <c r="A3494" s="2714"/>
      <c r="B3494" s="371">
        <v>101</v>
      </c>
      <c r="C3494" s="371" t="s">
        <v>2791</v>
      </c>
      <c r="D3494" s="2716">
        <f t="shared" ref="D3494:D3499" si="400">IF(OR(G3494="*",G3494="",G3494=0),0,COUNTIF($G$3494:$G$3499,G3494))</f>
        <v>0</v>
      </c>
      <c r="E3494" s="2721">
        <v>1</v>
      </c>
      <c r="F3494" s="294"/>
      <c r="G3494" s="1634" t="s">
        <v>2792</v>
      </c>
      <c r="H3494" s="309"/>
      <c r="I3494" s="346"/>
      <c r="J3494" s="355" t="s">
        <v>5365</v>
      </c>
      <c r="K3494" s="1522" t="s">
        <v>5614</v>
      </c>
      <c r="L3494" s="291"/>
      <c r="M3494" s="291"/>
      <c r="S3494" s="364"/>
      <c r="Z3494" s="609" t="s">
        <v>3848</v>
      </c>
      <c r="AA3494" s="609" t="s">
        <v>5676</v>
      </c>
    </row>
    <row r="3495" spans="1:27" ht="17">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5676</v>
      </c>
    </row>
    <row r="3496" spans="1:27" ht="17">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5676</v>
      </c>
    </row>
    <row r="3497" spans="1:27" ht="17">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5676</v>
      </c>
    </row>
    <row r="3498" spans="1:27" ht="17">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5676</v>
      </c>
    </row>
    <row r="3499" spans="1:27" ht="1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5676</v>
      </c>
    </row>
    <row r="3500" spans="1:27" ht="17">
      <c r="A3500" s="2714"/>
      <c r="B3500" s="371"/>
      <c r="C3500" s="371" t="s">
        <v>2755</v>
      </c>
      <c r="D3500" s="371"/>
      <c r="F3500" s="294"/>
      <c r="G3500" s="301"/>
      <c r="H3500" s="315"/>
      <c r="I3500" s="315"/>
      <c r="J3500" s="291"/>
      <c r="K3500" s="291"/>
      <c r="L3500" s="291"/>
      <c r="M3500" s="291"/>
      <c r="S3500" s="364"/>
      <c r="Z3500" s="609" t="s">
        <v>3848</v>
      </c>
      <c r="AA3500" s="609" t="s">
        <v>5676</v>
      </c>
    </row>
    <row r="3501" spans="1:27" ht="26">
      <c r="A3501" s="2714" t="s">
        <v>1443</v>
      </c>
      <c r="B3501" s="371">
        <v>6</v>
      </c>
      <c r="C3501" s="371"/>
      <c r="D3501" s="2716" t="str">
        <f>VLOOKUP($A3501,Sheet_NoteList,2,0)</f>
        <v>单项金额较大的应付账款</v>
      </c>
      <c r="E3501" s="2716" t="s">
        <v>6533</v>
      </c>
      <c r="F3501" s="294"/>
      <c r="G3501" s="372" t="str">
        <f>"("&amp;B3501&amp;")"&amp;D3501</f>
        <v>(6)单项金额较大的应付账款</v>
      </c>
      <c r="H3501" s="1517" t="str">
        <f>$A3501</f>
        <v>2202g</v>
      </c>
      <c r="I3501" s="343" t="s">
        <v>5966</v>
      </c>
      <c r="J3501" s="301" t="s">
        <v>5964</v>
      </c>
      <c r="K3501" s="2210">
        <f>H3509</f>
        <v>0</v>
      </c>
      <c r="L3501" s="345" t="str">
        <f>IF($I3501="适用",IF(ROUND(K3442-K3501,2)&gt;=0,"","#Logical!"),"#N/A")</f>
        <v/>
      </c>
      <c r="M3501" s="301"/>
      <c r="N3501" s="3084"/>
      <c r="O3501" s="315"/>
      <c r="P3501" s="301"/>
      <c r="S3501" s="364"/>
      <c r="Z3501" s="609" t="s">
        <v>3848</v>
      </c>
      <c r="AA3501" s="609" t="s">
        <v>5676</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5676</v>
      </c>
    </row>
    <row r="3503" spans="1:27" ht="26">
      <c r="A3503" s="2714"/>
      <c r="B3503" s="371"/>
      <c r="C3503" s="371"/>
      <c r="D3503" s="371"/>
      <c r="E3503" s="586" t="s">
        <v>2749</v>
      </c>
      <c r="F3503" s="363"/>
      <c r="G3503" s="2363" t="s">
        <v>3865</v>
      </c>
      <c r="H3503" s="2364" t="s">
        <v>3866</v>
      </c>
      <c r="I3503" s="2364" t="s">
        <v>2961</v>
      </c>
      <c r="J3503" s="2365" t="s">
        <v>3867</v>
      </c>
      <c r="K3503" s="355" t="s">
        <v>6177</v>
      </c>
      <c r="L3503" s="291"/>
      <c r="M3503" s="291"/>
      <c r="N3503" s="291"/>
      <c r="S3503" s="364"/>
      <c r="Z3503" s="609" t="s">
        <v>3848</v>
      </c>
      <c r="AA3503" s="609" t="s">
        <v>5676</v>
      </c>
    </row>
    <row r="3504" spans="1:27" ht="17">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5676</v>
      </c>
    </row>
    <row r="3505" spans="1:27" ht="17">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5676</v>
      </c>
    </row>
    <row r="3506" spans="1:27" ht="17">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5676</v>
      </c>
    </row>
    <row r="3507" spans="1:27" ht="17">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5676</v>
      </c>
    </row>
    <row r="3508" spans="1:27" ht="17">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5676</v>
      </c>
    </row>
    <row r="3509" spans="1:27" ht="1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5676</v>
      </c>
    </row>
    <row r="3510" spans="1:27" ht="17">
      <c r="A3510" s="2714"/>
      <c r="B3510" s="371"/>
      <c r="C3510" s="371" t="s">
        <v>2755</v>
      </c>
      <c r="D3510" s="371"/>
      <c r="F3510" s="294"/>
      <c r="G3510" s="301"/>
      <c r="H3510" s="315"/>
      <c r="I3510" s="393"/>
      <c r="J3510" s="393"/>
      <c r="K3510" s="291"/>
      <c r="L3510" s="291"/>
      <c r="M3510" s="291"/>
      <c r="N3510" s="291"/>
      <c r="S3510" s="364"/>
      <c r="Z3510" s="609" t="s">
        <v>3848</v>
      </c>
      <c r="AA3510" s="609" t="s">
        <v>5676</v>
      </c>
    </row>
    <row r="3511" spans="1:27" ht="17">
      <c r="A3511" s="2714" t="s">
        <v>1448</v>
      </c>
      <c r="B3511" s="371">
        <v>7</v>
      </c>
      <c r="C3511" s="371"/>
      <c r="D3511" s="2716" t="str">
        <f>VLOOKUP($A3511,Sheet_NoteList,2,0)</f>
        <v>应付账款补充资料</v>
      </c>
      <c r="E3511" s="2716" t="s">
        <v>6533</v>
      </c>
      <c r="F3511" s="294"/>
      <c r="G3511" s="597" t="str">
        <f>"("&amp;B3511&amp;")"&amp;D3511</f>
        <v>(7)应付账款补充资料</v>
      </c>
      <c r="H3511" s="1517" t="str">
        <f>$A3511</f>
        <v>2202x</v>
      </c>
      <c r="I3511" s="343" t="s">
        <v>5967</v>
      </c>
      <c r="J3511" s="301" t="s">
        <v>5964</v>
      </c>
      <c r="K3511" s="2210">
        <f>H3528</f>
        <v>0</v>
      </c>
      <c r="L3511" s="345"/>
      <c r="M3511" s="301"/>
      <c r="N3511" s="3084"/>
      <c r="O3511" s="315"/>
      <c r="P3511" s="301"/>
      <c r="S3511" s="364"/>
      <c r="Z3511" s="609" t="s">
        <v>3848</v>
      </c>
      <c r="AA3511" s="609" t="s">
        <v>5676</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5676</v>
      </c>
    </row>
    <row r="3513" spans="1:27" ht="17">
      <c r="A3513" s="2714"/>
      <c r="B3513" s="371"/>
      <c r="C3513" s="371"/>
      <c r="D3513" s="371"/>
      <c r="E3513" s="2716" t="s">
        <v>2749</v>
      </c>
      <c r="F3513" s="294"/>
      <c r="G3513" s="2386" t="s">
        <v>1465</v>
      </c>
      <c r="H3513" s="2398" t="s">
        <v>2775</v>
      </c>
      <c r="I3513" s="2388" t="s">
        <v>2508</v>
      </c>
      <c r="J3513" s="355" t="s">
        <v>6177</v>
      </c>
      <c r="K3513" s="291"/>
      <c r="L3513" s="291"/>
      <c r="M3513" s="291"/>
      <c r="N3513" s="291"/>
      <c r="S3513" s="364"/>
      <c r="Z3513" s="609" t="s">
        <v>3848</v>
      </c>
      <c r="AA3513" s="609" t="s">
        <v>5676</v>
      </c>
    </row>
    <row r="3514" spans="1:27" ht="26">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5676</v>
      </c>
    </row>
    <row r="3515" spans="1:27" ht="17">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5676</v>
      </c>
    </row>
    <row r="3516" spans="1:27" ht="17">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5676</v>
      </c>
    </row>
    <row r="3517" spans="1:27" ht="17">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5676</v>
      </c>
    </row>
    <row r="3518" spans="1:27" ht="17">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5676</v>
      </c>
    </row>
    <row r="3519" spans="1:27" ht="17">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5676</v>
      </c>
    </row>
    <row r="3520" spans="1:27" ht="26">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5676</v>
      </c>
    </row>
    <row r="3521" spans="1:27" ht="17">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5676</v>
      </c>
    </row>
    <row r="3522" spans="1:27" ht="17">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5676</v>
      </c>
    </row>
    <row r="3523" spans="1:27" ht="17">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5676</v>
      </c>
    </row>
    <row r="3524" spans="1:27" ht="17">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5676</v>
      </c>
    </row>
    <row r="3525" spans="1:27" ht="17">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5676</v>
      </c>
    </row>
    <row r="3526" spans="1:27" ht="17">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5676</v>
      </c>
    </row>
    <row r="3527" spans="1:27" ht="17">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5676</v>
      </c>
    </row>
    <row r="3528" spans="1:27" ht="1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5676</v>
      </c>
    </row>
    <row r="3529" spans="1:27" ht="17">
      <c r="A3529" s="2714"/>
      <c r="B3529" s="371"/>
      <c r="C3529" s="371" t="s">
        <v>2755</v>
      </c>
      <c r="D3529" s="371"/>
      <c r="F3529" s="294"/>
      <c r="G3529" s="301"/>
      <c r="H3529" s="315"/>
      <c r="I3529" s="393"/>
      <c r="J3529" s="350"/>
      <c r="K3529" s="291"/>
      <c r="L3529" s="291"/>
      <c r="M3529" s="291"/>
      <c r="N3529" s="291"/>
      <c r="S3529" s="364"/>
      <c r="Z3529" s="609" t="s">
        <v>3848</v>
      </c>
      <c r="AA3529" s="609" t="s">
        <v>5676</v>
      </c>
    </row>
    <row r="3530" spans="1:27" ht="17">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5677</v>
      </c>
    </row>
    <row r="3531" spans="1:27" ht="17">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5677</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5677</v>
      </c>
    </row>
    <row r="3533" spans="1:27" ht="26">
      <c r="A3533" s="2714"/>
      <c r="B3533" s="371"/>
      <c r="C3533" s="371"/>
      <c r="D3533" s="371"/>
      <c r="E3533" s="2716" t="s">
        <v>2749</v>
      </c>
      <c r="F3533" s="294"/>
      <c r="G3533" s="410" t="s">
        <v>47</v>
      </c>
      <c r="H3533" s="1454" t="str">
        <f>$V$2</f>
        <v>2019年12月31日</v>
      </c>
      <c r="I3533" s="1455" t="str">
        <f>$V$3</f>
        <v>2018年12月31日</v>
      </c>
      <c r="J3533" s="355" t="s">
        <v>5305</v>
      </c>
      <c r="K3533" s="291"/>
      <c r="L3533" s="291"/>
      <c r="M3533" s="291"/>
      <c r="S3533" s="364"/>
      <c r="Z3533" s="609" t="s">
        <v>3873</v>
      </c>
      <c r="AA3533" s="609" t="s">
        <v>5677</v>
      </c>
    </row>
    <row r="3534" spans="1:27" ht="17">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5677</v>
      </c>
    </row>
    <row r="3535" spans="1:27" ht="17">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5677</v>
      </c>
    </row>
    <row r="3536" spans="1:27" ht="17">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5677</v>
      </c>
    </row>
    <row r="3537" spans="1:29" ht="17">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5677</v>
      </c>
    </row>
    <row r="3538" spans="1:29" ht="17">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5677</v>
      </c>
    </row>
    <row r="3539" spans="1:29" ht="1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5677</v>
      </c>
      <c r="AC3539" s="369" t="s">
        <v>6575</v>
      </c>
    </row>
    <row r="3540" spans="1:29" ht="17">
      <c r="A3540" s="2714"/>
      <c r="B3540" s="371"/>
      <c r="C3540" s="371" t="s">
        <v>2755</v>
      </c>
      <c r="D3540" s="371"/>
      <c r="F3540" s="294"/>
      <c r="G3540" s="301"/>
      <c r="H3540" s="315"/>
      <c r="I3540" s="315"/>
      <c r="J3540" s="291"/>
      <c r="K3540" s="291"/>
      <c r="L3540" s="291"/>
      <c r="M3540" s="291"/>
      <c r="S3540" s="364"/>
      <c r="Z3540" s="609" t="s">
        <v>3873</v>
      </c>
      <c r="AA3540" s="609" t="s">
        <v>5677</v>
      </c>
    </row>
    <row r="3541" spans="1:29" ht="17">
      <c r="A3541" s="2714" t="s">
        <v>1490</v>
      </c>
      <c r="B3541" s="371">
        <v>2</v>
      </c>
      <c r="C3541" s="371"/>
      <c r="D3541" s="2716" t="str">
        <f>VLOOKUP($A3541,Sheet_NoteList,2,0)</f>
        <v>预收账款按账龄列示</v>
      </c>
      <c r="E3541" s="2716" t="s">
        <v>6533</v>
      </c>
      <c r="F3541" s="294"/>
      <c r="G3541" s="307" t="str">
        <f>"("&amp;B3541&amp;")"&amp;D3541</f>
        <v>(2)预收账款按账龄列示</v>
      </c>
      <c r="H3541" s="1517" t="str">
        <f>$A3541</f>
        <v>2205g</v>
      </c>
      <c r="I3541" s="343" t="s">
        <v>5567</v>
      </c>
      <c r="J3541" s="301" t="s">
        <v>5565</v>
      </c>
      <c r="K3541" s="2210">
        <f>H3549</f>
        <v>0</v>
      </c>
      <c r="L3541" s="345" t="str">
        <f>IF($I3541="适用",IF(ROUND(K$3530-K3541,2)=0,"F/S",ROUND(K$3530-K3541,2)),"#N/A")</f>
        <v>F/S</v>
      </c>
      <c r="M3541" s="301" t="s">
        <v>5566</v>
      </c>
      <c r="N3541" s="2210">
        <f>I3549</f>
        <v>0</v>
      </c>
      <c r="O3541" s="345" t="str">
        <f>IF($I3541="适用",IF(ROUND(N$3530-N3541,2)=0,"F/S",ROUND(N$3530-N3541,2)),"#N/A")</f>
        <v>F/S</v>
      </c>
      <c r="P3541" s="301"/>
      <c r="S3541" s="364"/>
      <c r="Z3541" s="609" t="s">
        <v>3873</v>
      </c>
      <c r="AA3541" s="609" t="s">
        <v>5677</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5677</v>
      </c>
    </row>
    <row r="3543" spans="1:29" ht="17">
      <c r="A3543" s="2714"/>
      <c r="B3543" s="371"/>
      <c r="C3543" s="371"/>
      <c r="D3543" s="371"/>
      <c r="E3543" s="586" t="s">
        <v>2749</v>
      </c>
      <c r="F3543" s="363"/>
      <c r="G3543" s="2660" t="s">
        <v>1439</v>
      </c>
      <c r="H3543" s="2661" t="s">
        <v>2775</v>
      </c>
      <c r="I3543" s="2662" t="s">
        <v>2776</v>
      </c>
      <c r="J3543" s="355" t="s">
        <v>6177</v>
      </c>
      <c r="K3543" s="291"/>
      <c r="L3543" s="291"/>
      <c r="M3543" s="291"/>
      <c r="S3543" s="364"/>
      <c r="Z3543" s="609" t="s">
        <v>3873</v>
      </c>
      <c r="AA3543" s="609" t="s">
        <v>5677</v>
      </c>
    </row>
    <row r="3544" spans="1:29" ht="17">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5677</v>
      </c>
    </row>
    <row r="3545" spans="1:29" ht="17">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5677</v>
      </c>
    </row>
    <row r="3546" spans="1:29" ht="17">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5677</v>
      </c>
    </row>
    <row r="3547" spans="1:29" ht="17">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5677</v>
      </c>
    </row>
    <row r="3548" spans="1:29" ht="17">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5677</v>
      </c>
    </row>
    <row r="3549" spans="1:29" ht="1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5677</v>
      </c>
    </row>
    <row r="3550" spans="1:29" ht="1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5677</v>
      </c>
    </row>
    <row r="3551" spans="1:29" ht="17.5" thickTop="1">
      <c r="A3551" s="2714"/>
      <c r="B3551" s="371"/>
      <c r="C3551" s="371" t="s">
        <v>2565</v>
      </c>
      <c r="D3551" s="371"/>
      <c r="F3551" s="294"/>
      <c r="G3551" s="1561" t="s">
        <v>5368</v>
      </c>
      <c r="H3551" s="1550" t="str">
        <f>G3531</f>
        <v>(1)预收款项列示</v>
      </c>
      <c r="I3551" s="1552"/>
      <c r="J3551" s="1553" t="s">
        <v>5369</v>
      </c>
      <c r="K3551" s="291"/>
      <c r="L3551" s="291"/>
      <c r="M3551" s="291"/>
      <c r="S3551" s="364"/>
      <c r="Z3551" s="609" t="s">
        <v>3873</v>
      </c>
      <c r="AA3551" s="609" t="s">
        <v>5677</v>
      </c>
    </row>
    <row r="3552" spans="1:29" ht="17">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5677</v>
      </c>
    </row>
    <row r="3553" spans="1:27" ht="17">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5677</v>
      </c>
    </row>
    <row r="3554" spans="1:27" ht="1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5677</v>
      </c>
    </row>
    <row r="3555" spans="1:27" ht="1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5677</v>
      </c>
    </row>
    <row r="3556" spans="1:27" ht="17">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5677</v>
      </c>
    </row>
    <row r="3557" spans="1:27" ht="17">
      <c r="A3557" s="2714"/>
      <c r="B3557" s="371"/>
      <c r="C3557" s="371" t="s">
        <v>2565</v>
      </c>
      <c r="D3557" s="371"/>
      <c r="F3557" s="294"/>
      <c r="G3557" s="354"/>
      <c r="H3557" s="461"/>
      <c r="I3557" s="461"/>
      <c r="J3557" s="354"/>
      <c r="K3557" s="291"/>
      <c r="L3557" s="291"/>
      <c r="M3557" s="291"/>
      <c r="S3557" s="364"/>
      <c r="Z3557" s="609" t="s">
        <v>3873</v>
      </c>
      <c r="AA3557" s="609" t="s">
        <v>5677</v>
      </c>
    </row>
    <row r="3558" spans="1:27" ht="26">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4"/>
      <c r="O3558" s="315"/>
      <c r="P3558" s="301"/>
      <c r="Q3558" s="290" t="str">
        <f>IF($I3558="不适用","",IF(ROUND(SUM($H$3561:$I$3566),2)=0,"请输入",""))</f>
        <v>请输入</v>
      </c>
      <c r="S3558" s="364"/>
      <c r="Z3558" s="609" t="s">
        <v>3873</v>
      </c>
      <c r="AA3558" s="609" t="s">
        <v>5677</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5677</v>
      </c>
    </row>
    <row r="3560" spans="1:27" ht="26">
      <c r="A3560" s="2714"/>
      <c r="B3560" s="371"/>
      <c r="C3560" s="371"/>
      <c r="D3560" s="371"/>
      <c r="E3560" s="2716" t="s">
        <v>2749</v>
      </c>
      <c r="F3560" s="294"/>
      <c r="G3560" s="378" t="s">
        <v>47</v>
      </c>
      <c r="H3560" s="2473" t="str">
        <f>$V$2</f>
        <v>2019年12月31日</v>
      </c>
      <c r="I3560" s="1488" t="s">
        <v>5214</v>
      </c>
      <c r="J3560" s="355" t="s">
        <v>5305</v>
      </c>
      <c r="K3560" s="291"/>
      <c r="L3560" s="291"/>
      <c r="M3560" s="291"/>
      <c r="N3560" s="291"/>
      <c r="S3560" s="364"/>
      <c r="Z3560" s="609" t="s">
        <v>3873</v>
      </c>
      <c r="AA3560" s="609" t="s">
        <v>5677</v>
      </c>
    </row>
    <row r="3561" spans="1:27" ht="17">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5677</v>
      </c>
    </row>
    <row r="3562" spans="1:27" ht="17">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5677</v>
      </c>
    </row>
    <row r="3563" spans="1:27" ht="17">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5677</v>
      </c>
    </row>
    <row r="3564" spans="1:27" ht="17">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5677</v>
      </c>
    </row>
    <row r="3565" spans="1:27" ht="17">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5677</v>
      </c>
    </row>
    <row r="3566" spans="1:27" ht="1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5677</v>
      </c>
    </row>
    <row r="3567" spans="1:27" ht="17">
      <c r="A3567" s="2714"/>
      <c r="B3567" s="371"/>
      <c r="C3567" s="371" t="s">
        <v>2755</v>
      </c>
      <c r="D3567" s="371"/>
      <c r="F3567" s="294"/>
      <c r="G3567" s="301"/>
      <c r="H3567" s="349"/>
      <c r="I3567" s="350"/>
      <c r="J3567" s="350"/>
      <c r="K3567" s="291"/>
      <c r="L3567" s="291"/>
      <c r="M3567" s="291"/>
      <c r="N3567" s="291"/>
      <c r="S3567" s="364"/>
      <c r="Z3567" s="609" t="s">
        <v>3873</v>
      </c>
      <c r="AA3567" s="609" t="s">
        <v>5677</v>
      </c>
    </row>
    <row r="3568" spans="1:27" ht="26">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4"/>
      <c r="O3568" s="315"/>
      <c r="P3568" s="301"/>
      <c r="Q3568" s="290" t="str">
        <f>IF($I3568="不适用","",IF(ROUND(SUM($H$3571:$I$3576),2)=0,"请输入",""))</f>
        <v>请输入</v>
      </c>
      <c r="S3568" s="364"/>
      <c r="Z3568" s="609" t="s">
        <v>3873</v>
      </c>
      <c r="AA3568" s="609" t="s">
        <v>5677</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5677</v>
      </c>
    </row>
    <row r="3570" spans="1:27" ht="26">
      <c r="A3570" s="2714"/>
      <c r="B3570" s="371"/>
      <c r="C3570" s="371"/>
      <c r="D3570" s="371"/>
      <c r="E3570" s="586" t="s">
        <v>2749</v>
      </c>
      <c r="F3570" s="363"/>
      <c r="G3570" s="2361" t="s">
        <v>47</v>
      </c>
      <c r="H3570" s="2479" t="str">
        <f>$V$2</f>
        <v>2019年12月31日</v>
      </c>
      <c r="I3570" s="355" t="s">
        <v>5305</v>
      </c>
      <c r="J3570" s="537"/>
      <c r="K3570" s="537"/>
      <c r="L3570" s="472"/>
      <c r="M3570" s="472"/>
      <c r="N3570" s="472"/>
      <c r="O3570" s="472"/>
      <c r="P3570" s="442"/>
      <c r="Q3570" s="442"/>
      <c r="R3570" s="443"/>
      <c r="S3570" s="364"/>
      <c r="Z3570" s="609" t="s">
        <v>3873</v>
      </c>
      <c r="AA3570" s="609" t="s">
        <v>5677</v>
      </c>
    </row>
    <row r="3571" spans="1:27" ht="17">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5677</v>
      </c>
    </row>
    <row r="3572" spans="1:27" ht="17">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5677</v>
      </c>
    </row>
    <row r="3573" spans="1:27" ht="17">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5677</v>
      </c>
    </row>
    <row r="3574" spans="1:27" ht="17">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5677</v>
      </c>
    </row>
    <row r="3575" spans="1:27" ht="17">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5677</v>
      </c>
    </row>
    <row r="3576" spans="1:27" ht="26.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5677</v>
      </c>
    </row>
    <row r="3577" spans="1:27" ht="17">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5677</v>
      </c>
    </row>
    <row r="3578" spans="1:27" ht="26">
      <c r="A3578" s="2714" t="s">
        <v>1485</v>
      </c>
      <c r="B3578" s="371">
        <v>5</v>
      </c>
      <c r="C3578" s="371"/>
      <c r="D3578" s="2716" t="str">
        <f>VLOOKUP($A3578,Sheet_NoteList,2,0)</f>
        <v>预收款项中预售房产收款情况</v>
      </c>
      <c r="E3578" s="2716" t="s">
        <v>6533</v>
      </c>
      <c r="F3578" s="294"/>
      <c r="G3578" s="372" t="str">
        <f>"("&amp;B3578&amp;")"&amp;D3578</f>
        <v>(5)预收款项中预售房产收款情况</v>
      </c>
      <c r="H3578" s="1517" t="str">
        <f>$A3578</f>
        <v>2205e</v>
      </c>
      <c r="I3578" s="343" t="s">
        <v>5975</v>
      </c>
      <c r="J3578" s="301" t="s">
        <v>5974</v>
      </c>
      <c r="K3578" s="2210">
        <f>H3586</f>
        <v>0</v>
      </c>
      <c r="L3578" s="345" t="str">
        <f>IF($I3578="适用",IF(ROUND(K$3530-K3578,2)&gt;=0,"","#Logical!"),"#N/A")</f>
        <v/>
      </c>
      <c r="M3578" s="301" t="s">
        <v>5971</v>
      </c>
      <c r="N3578" s="2210">
        <f>I3586</f>
        <v>0</v>
      </c>
      <c r="O3578" s="345" t="str">
        <f>IF($I3578="适用",IF(ROUND(N$3530-N3578,2)&gt;=0,"","#Logical!"),"#N/A")</f>
        <v/>
      </c>
      <c r="P3578" s="301"/>
      <c r="Q3578" s="290" t="str">
        <f>IF($I3578="不适用","",IF(ROUND(SUM($H$3581:$K$3586),2)=0,"请输入",""))</f>
        <v>请输入</v>
      </c>
      <c r="S3578" s="364"/>
      <c r="Z3578" s="609" t="s">
        <v>3873</v>
      </c>
      <c r="AA3578" s="609" t="s">
        <v>5677</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5677</v>
      </c>
    </row>
    <row r="3580" spans="1:27" ht="17">
      <c r="A3580" s="2714"/>
      <c r="B3580" s="371"/>
      <c r="C3580" s="371"/>
      <c r="D3580" s="371"/>
      <c r="E3580" s="586" t="s">
        <v>2749</v>
      </c>
      <c r="F3580" s="363"/>
      <c r="G3580" s="2363" t="s">
        <v>1476</v>
      </c>
      <c r="H3580" s="2364" t="s">
        <v>2775</v>
      </c>
      <c r="I3580" s="2364" t="s">
        <v>2776</v>
      </c>
      <c r="J3580" s="2364" t="s">
        <v>3245</v>
      </c>
      <c r="K3580" s="2365" t="s">
        <v>3888</v>
      </c>
      <c r="L3580" s="355" t="s">
        <v>6177</v>
      </c>
      <c r="M3580" s="291"/>
      <c r="N3580" s="291"/>
      <c r="O3580" s="291"/>
      <c r="S3580" s="364"/>
      <c r="Z3580" s="609" t="s">
        <v>3873</v>
      </c>
      <c r="AA3580" s="609" t="s">
        <v>5677</v>
      </c>
    </row>
    <row r="3581" spans="1:27" ht="17">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5677</v>
      </c>
    </row>
    <row r="3582" spans="1:27" ht="17">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5677</v>
      </c>
    </row>
    <row r="3583" spans="1:27" ht="17">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5677</v>
      </c>
    </row>
    <row r="3584" spans="1:27" ht="17">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5677</v>
      </c>
    </row>
    <row r="3585" spans="1:27" ht="17">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5677</v>
      </c>
    </row>
    <row r="3586" spans="1:27" ht="1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5677</v>
      </c>
    </row>
    <row r="3587" spans="1:27" ht="17">
      <c r="A3587" s="2714"/>
      <c r="B3587" s="371"/>
      <c r="C3587" s="371" t="s">
        <v>2755</v>
      </c>
      <c r="D3587" s="371"/>
      <c r="F3587" s="294"/>
      <c r="G3587" s="301"/>
      <c r="H3587" s="315"/>
      <c r="I3587" s="315"/>
      <c r="J3587" s="393"/>
      <c r="K3587" s="393"/>
      <c r="L3587" s="291"/>
      <c r="M3587" s="291"/>
      <c r="N3587" s="291"/>
      <c r="O3587" s="291"/>
      <c r="S3587" s="364"/>
      <c r="Z3587" s="609" t="s">
        <v>3873</v>
      </c>
      <c r="AA3587" s="609" t="s">
        <v>5677</v>
      </c>
    </row>
    <row r="3588" spans="1:27" ht="26">
      <c r="A3588" s="2714" t="s">
        <v>1474</v>
      </c>
      <c r="B3588" s="371">
        <v>6</v>
      </c>
      <c r="C3588" s="371"/>
      <c r="D3588" s="2716" t="str">
        <f>VLOOKUP($A3588,Sheet_NoteList,2,0)</f>
        <v>关联方应收应付款项——预收款项</v>
      </c>
      <c r="E3588" s="2716" t="s">
        <v>6533</v>
      </c>
      <c r="F3588" s="294"/>
      <c r="G3588" s="372" t="str">
        <f>"("&amp;B3588&amp;")"&amp;D3588</f>
        <v>(6)关联方应收应付款项——预收款项</v>
      </c>
      <c r="H3588" s="1517" t="str">
        <f>$A3588</f>
        <v>2205c</v>
      </c>
      <c r="I3588" s="343" t="s">
        <v>5613</v>
      </c>
      <c r="J3588" s="301"/>
      <c r="K3588" s="3084"/>
      <c r="L3588" s="315"/>
      <c r="M3588" s="301"/>
      <c r="N3588" s="3084"/>
      <c r="O3588" s="315"/>
      <c r="P3588" s="301"/>
      <c r="Q3588" s="290" t="str">
        <f>IF($I3588="不适用","",IF(ROUND(SUM($H$3591:$I$3596),2)=0,"请输入",""))</f>
        <v>请输入</v>
      </c>
      <c r="S3588" s="364"/>
      <c r="Z3588" s="609" t="s">
        <v>3873</v>
      </c>
      <c r="AA3588" s="609" t="s">
        <v>5677</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5677</v>
      </c>
    </row>
    <row r="3590" spans="1:27" ht="17">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5677</v>
      </c>
    </row>
    <row r="3591" spans="1:27" ht="17">
      <c r="A3591" s="2714"/>
      <c r="B3591" s="371">
        <v>101</v>
      </c>
      <c r="C3591" s="371" t="s">
        <v>2791</v>
      </c>
      <c r="D3591" s="2716">
        <f t="shared" ref="D3591:D3596" si="408">IF(OR(G3591="*",G3591="",G3591=0),0,COUNTIF($G$3591:$G$3596,G3591))</f>
        <v>0</v>
      </c>
      <c r="E3591" s="2721">
        <v>1</v>
      </c>
      <c r="F3591" s="294"/>
      <c r="G3591" s="1634" t="s">
        <v>2792</v>
      </c>
      <c r="H3591" s="309"/>
      <c r="I3591" s="346"/>
      <c r="J3591" s="355" t="s">
        <v>5365</v>
      </c>
      <c r="K3591" s="1522" t="s">
        <v>5614</v>
      </c>
      <c r="L3591" s="291"/>
      <c r="M3591" s="291"/>
      <c r="S3591" s="364"/>
      <c r="Z3591" s="609" t="s">
        <v>3873</v>
      </c>
      <c r="AA3591" s="609" t="s">
        <v>5677</v>
      </c>
    </row>
    <row r="3592" spans="1:27" ht="17">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5677</v>
      </c>
    </row>
    <row r="3593" spans="1:27" ht="17">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5677</v>
      </c>
    </row>
    <row r="3594" spans="1:27" ht="17">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5677</v>
      </c>
    </row>
    <row r="3595" spans="1:27" ht="17">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5677</v>
      </c>
    </row>
    <row r="3596" spans="1:27" ht="1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5677</v>
      </c>
    </row>
    <row r="3597" spans="1:27" ht="17">
      <c r="A3597" s="2714"/>
      <c r="B3597" s="371"/>
      <c r="C3597" s="371" t="s">
        <v>2755</v>
      </c>
      <c r="D3597" s="371"/>
      <c r="F3597" s="294"/>
      <c r="G3597" s="301"/>
      <c r="H3597" s="315"/>
      <c r="I3597" s="315"/>
      <c r="J3597" s="291"/>
      <c r="K3597" s="291"/>
      <c r="L3597" s="291"/>
      <c r="M3597" s="291"/>
      <c r="S3597" s="364"/>
      <c r="Z3597" s="609" t="s">
        <v>3873</v>
      </c>
      <c r="AA3597" s="609" t="s">
        <v>5677</v>
      </c>
    </row>
    <row r="3598" spans="1:27" ht="17">
      <c r="A3598" s="2714" t="s">
        <v>1495</v>
      </c>
      <c r="B3598" s="371">
        <v>7</v>
      </c>
      <c r="C3598" s="371"/>
      <c r="D3598" s="2716" t="str">
        <f>VLOOKUP($A3598,Sheet_NoteList,2,0)</f>
        <v>预收款项补充资料</v>
      </c>
      <c r="E3598" s="2716" t="s">
        <v>6533</v>
      </c>
      <c r="F3598" s="294"/>
      <c r="G3598" s="597" t="str">
        <f>"("&amp;B3598&amp;")"&amp;D3598</f>
        <v>(7)预收款项补充资料</v>
      </c>
      <c r="H3598" s="1517" t="str">
        <f>$A3598</f>
        <v>2205x</v>
      </c>
      <c r="I3598" s="343" t="s">
        <v>5967</v>
      </c>
      <c r="J3598" s="301" t="s">
        <v>5972</v>
      </c>
      <c r="K3598" s="2210">
        <f>H3615</f>
        <v>0</v>
      </c>
      <c r="L3598" s="345"/>
      <c r="M3598" s="301"/>
      <c r="N3598" s="3084"/>
      <c r="O3598" s="315"/>
      <c r="P3598" s="301"/>
      <c r="S3598" s="364"/>
      <c r="Z3598" s="609" t="s">
        <v>3873</v>
      </c>
      <c r="AA3598" s="609" t="s">
        <v>5677</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5677</v>
      </c>
    </row>
    <row r="3600" spans="1:27" ht="17">
      <c r="A3600" s="2714"/>
      <c r="B3600" s="371"/>
      <c r="C3600" s="371"/>
      <c r="D3600" s="371"/>
      <c r="E3600" s="2716" t="s">
        <v>2749</v>
      </c>
      <c r="F3600" s="294"/>
      <c r="G3600" s="2386" t="s">
        <v>1465</v>
      </c>
      <c r="H3600" s="2398" t="s">
        <v>2775</v>
      </c>
      <c r="I3600" s="2388" t="s">
        <v>2508</v>
      </c>
      <c r="J3600" s="355" t="s">
        <v>6177</v>
      </c>
      <c r="K3600" s="291"/>
      <c r="L3600" s="291"/>
      <c r="M3600" s="291"/>
      <c r="N3600" s="291"/>
      <c r="S3600" s="364"/>
      <c r="Z3600" s="609" t="s">
        <v>3873</v>
      </c>
      <c r="AA3600" s="609" t="s">
        <v>5677</v>
      </c>
    </row>
    <row r="3601" spans="1:27" ht="26">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5677</v>
      </c>
    </row>
    <row r="3602" spans="1:27" ht="17">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5677</v>
      </c>
    </row>
    <row r="3603" spans="1:27" ht="17">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5677</v>
      </c>
    </row>
    <row r="3604" spans="1:27" ht="17">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5677</v>
      </c>
    </row>
    <row r="3605" spans="1:27" ht="17">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5677</v>
      </c>
    </row>
    <row r="3606" spans="1:27" ht="17">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5677</v>
      </c>
    </row>
    <row r="3607" spans="1:27" ht="26">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5677</v>
      </c>
    </row>
    <row r="3608" spans="1:27" ht="17">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5677</v>
      </c>
    </row>
    <row r="3609" spans="1:27" ht="17">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5677</v>
      </c>
    </row>
    <row r="3610" spans="1:27" ht="17">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5677</v>
      </c>
    </row>
    <row r="3611" spans="1:27" ht="17">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5677</v>
      </c>
    </row>
    <row r="3612" spans="1:27" ht="17">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5677</v>
      </c>
    </row>
    <row r="3613" spans="1:27" ht="17">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5677</v>
      </c>
    </row>
    <row r="3614" spans="1:27" ht="17">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5677</v>
      </c>
    </row>
    <row r="3615" spans="1:27" ht="1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5677</v>
      </c>
    </row>
    <row r="3616" spans="1:27" ht="17">
      <c r="A3616" s="2714"/>
      <c r="B3616" s="371"/>
      <c r="C3616" s="371" t="s">
        <v>2755</v>
      </c>
      <c r="D3616" s="371"/>
      <c r="F3616" s="294"/>
      <c r="G3616" s="301"/>
      <c r="H3616" s="315"/>
      <c r="I3616" s="393"/>
      <c r="J3616" s="350"/>
      <c r="K3616" s="291"/>
      <c r="L3616" s="291"/>
      <c r="M3616" s="291"/>
      <c r="N3616" s="291"/>
      <c r="S3616" s="364"/>
      <c r="Z3616" s="609" t="s">
        <v>3873</v>
      </c>
      <c r="AA3616" s="609" t="s">
        <v>5677</v>
      </c>
    </row>
    <row r="3617" spans="1:29" ht="17">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5679</v>
      </c>
    </row>
    <row r="3618" spans="1:29" ht="17">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0</v>
      </c>
      <c r="L3618" s="345" t="str">
        <f>IF($I3618="适用",IF(ROUND(K3617-K3618,2)=0,"F/S",ROUND(K3617-K3618,2)),"#N/A")</f>
        <v>F/S</v>
      </c>
      <c r="M3618" s="301" t="s">
        <v>2745</v>
      </c>
      <c r="N3618" s="2210">
        <f>H3626</f>
        <v>0</v>
      </c>
      <c r="O3618" s="345" t="str">
        <f>IF($I3618="适用",IF(ROUND(N3617-N3618,2)=0,"F/S",ROUND(N3617-N3618,2)),"#N/A")</f>
        <v>F/S</v>
      </c>
      <c r="P3618" s="301"/>
      <c r="Q3618" s="290" t="str">
        <f>IF($I3618="不适用","",IF(ROUND(SUM($H$3621:$K$3626),2)=0,"请输入",""))</f>
        <v>请输入</v>
      </c>
      <c r="S3618" s="364"/>
      <c r="Z3618" s="609" t="s">
        <v>3893</v>
      </c>
      <c r="AA3618" s="609" t="s">
        <v>5679</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5679</v>
      </c>
    </row>
    <row r="3620" spans="1:29" ht="26">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5306</v>
      </c>
      <c r="M3620" s="291"/>
      <c r="N3620" s="291"/>
      <c r="O3620" s="291"/>
      <c r="S3620" s="364"/>
      <c r="Z3620" s="609" t="s">
        <v>3893</v>
      </c>
      <c r="AA3620" s="609" t="s">
        <v>5679</v>
      </c>
    </row>
    <row r="3621" spans="1:29" ht="17">
      <c r="A3621" s="2714"/>
      <c r="B3621" s="371">
        <v>101</v>
      </c>
      <c r="C3621" s="371"/>
      <c r="D3621" s="2716">
        <f t="shared" ref="D3621:D3626" si="410">IF(OR(G3621="*",G3621="",G3621=0),0,COUNTIF($G$3621:$G$3626,G3621))</f>
        <v>1</v>
      </c>
      <c r="E3621" s="2721">
        <v>1</v>
      </c>
      <c r="F3621" s="294"/>
      <c r="G3621" s="1474" t="s">
        <v>3895</v>
      </c>
      <c r="H3621" s="2275"/>
      <c r="I3621" s="2275"/>
      <c r="J3621" s="2275"/>
      <c r="K3621" s="1477">
        <f>H3621+I3621-J3621</f>
        <v>0</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5679</v>
      </c>
      <c r="AC3621" s="369" t="s">
        <v>6575</v>
      </c>
    </row>
    <row r="3622" spans="1:29" ht="26">
      <c r="A3622" s="2714"/>
      <c r="B3622" s="371">
        <v>102</v>
      </c>
      <c r="C3622" s="371"/>
      <c r="D3622" s="2716">
        <f t="shared" si="410"/>
        <v>1</v>
      </c>
      <c r="E3622" s="2721">
        <v>1</v>
      </c>
      <c r="F3622" s="294"/>
      <c r="G3622" s="1474" t="s">
        <v>3896</v>
      </c>
      <c r="H3622" s="2275"/>
      <c r="I3622" s="2275"/>
      <c r="J3622" s="2275"/>
      <c r="K3622" s="1477">
        <f>H3622+I3622-J3622</f>
        <v>0</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5679</v>
      </c>
      <c r="AC3622" s="369" t="s">
        <v>6575</v>
      </c>
    </row>
    <row r="3623" spans="1:29" ht="17">
      <c r="A3623" s="2714"/>
      <c r="B3623" s="371">
        <v>103</v>
      </c>
      <c r="C3623" s="371"/>
      <c r="D3623" s="2716">
        <f t="shared" si="410"/>
        <v>1</v>
      </c>
      <c r="E3623" s="2721">
        <v>1</v>
      </c>
      <c r="F3623" s="294"/>
      <c r="G3623" s="1474" t="s">
        <v>3897</v>
      </c>
      <c r="H3623" s="2275"/>
      <c r="I3623" s="2275"/>
      <c r="J3623" s="2275"/>
      <c r="K3623" s="1477">
        <f>H3623+I3623-J3623</f>
        <v>0</v>
      </c>
      <c r="L3623" s="291"/>
      <c r="M3623" s="291"/>
      <c r="N3623" s="291"/>
      <c r="O3623" s="291"/>
      <c r="S3623" s="364"/>
      <c r="Z3623" s="609" t="s">
        <v>3893</v>
      </c>
      <c r="AA3623" s="609" t="s">
        <v>5679</v>
      </c>
    </row>
    <row r="3624" spans="1:29" ht="17">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5679</v>
      </c>
    </row>
    <row r="3625" spans="1:29" ht="17">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5679</v>
      </c>
    </row>
    <row r="3626" spans="1:29" ht="17.5" thickBot="1">
      <c r="A3626" s="2714"/>
      <c r="B3626" s="371"/>
      <c r="C3626" s="371"/>
      <c r="D3626" s="2716">
        <f t="shared" si="410"/>
        <v>1</v>
      </c>
      <c r="E3626" s="2721" t="s">
        <v>2751</v>
      </c>
      <c r="F3626" s="294"/>
      <c r="G3626" s="374" t="s">
        <v>2752</v>
      </c>
      <c r="H3626" s="1478">
        <f>SUMPRODUCT($E3620:$E3625,H3620:H3625)</f>
        <v>0</v>
      </c>
      <c r="I3626" s="1478">
        <f>SUMPRODUCT($E3620:$E3625,I3620:I3625)</f>
        <v>0</v>
      </c>
      <c r="J3626" s="1478">
        <f>SUMPRODUCT($E3620:$E3625,J3620:J3625)</f>
        <v>0</v>
      </c>
      <c r="K3626" s="1479">
        <f>SUMPRODUCT($E3620:$E3625,K3620:K3625)</f>
        <v>0</v>
      </c>
      <c r="L3626" s="291"/>
      <c r="M3626" s="291"/>
      <c r="N3626" s="291"/>
      <c r="O3626" s="291"/>
      <c r="S3626" s="364"/>
      <c r="Z3626" s="609" t="s">
        <v>3893</v>
      </c>
      <c r="AA3626" s="609" t="s">
        <v>5679</v>
      </c>
    </row>
    <row r="3627" spans="1:29" ht="17">
      <c r="A3627" s="2714"/>
      <c r="B3627" s="371"/>
      <c r="C3627" s="371" t="s">
        <v>2755</v>
      </c>
      <c r="D3627" s="371"/>
      <c r="F3627" s="294"/>
      <c r="G3627" s="557"/>
      <c r="H3627" s="315"/>
      <c r="I3627" s="315"/>
      <c r="J3627" s="315"/>
      <c r="K3627" s="315"/>
      <c r="L3627" s="291"/>
      <c r="M3627" s="291"/>
      <c r="N3627" s="291"/>
      <c r="O3627" s="291"/>
      <c r="S3627" s="364"/>
      <c r="Z3627" s="609" t="s">
        <v>3893</v>
      </c>
      <c r="AA3627" s="609" t="s">
        <v>5679</v>
      </c>
    </row>
    <row r="3628" spans="1:29" ht="17">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0</v>
      </c>
      <c r="L3628" s="345"/>
      <c r="M3628" s="301" t="s">
        <v>2745</v>
      </c>
      <c r="N3628" s="2210">
        <f>H3648</f>
        <v>0</v>
      </c>
      <c r="O3628" s="345"/>
      <c r="P3628" s="301"/>
      <c r="Q3628" s="290" t="str">
        <f>IF($I3628="不适用","",IF(ROUND(SUM($H$3631:$K$3648),2)=0,"请输入",""))</f>
        <v>请输入</v>
      </c>
      <c r="S3628" s="364"/>
      <c r="Z3628" s="609" t="s">
        <v>3893</v>
      </c>
      <c r="AA3628" s="609" t="s">
        <v>5679</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5679</v>
      </c>
    </row>
    <row r="3630" spans="1:29" ht="26">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5306</v>
      </c>
      <c r="M3630" s="291"/>
      <c r="N3630" s="291"/>
      <c r="O3630" s="291"/>
      <c r="S3630" s="364"/>
      <c r="Z3630" s="609" t="s">
        <v>3893</v>
      </c>
      <c r="AA3630" s="609" t="s">
        <v>5679</v>
      </c>
    </row>
    <row r="3631" spans="1:29" ht="26">
      <c r="A3631" s="2714"/>
      <c r="B3631" s="371">
        <v>101</v>
      </c>
      <c r="C3631" s="371"/>
      <c r="D3631" s="2716">
        <f t="shared" ref="D3631:D3648" si="411">IF(OR(G3631="*",G3631="",G3631=0),0,COUNTIF($G$3631:$G$3648,G3631))</f>
        <v>1</v>
      </c>
      <c r="E3631" s="2721">
        <v>1</v>
      </c>
      <c r="F3631" s="340"/>
      <c r="G3631" s="1474" t="s">
        <v>3900</v>
      </c>
      <c r="H3631" s="2275"/>
      <c r="I3631" s="2275"/>
      <c r="J3631" s="2275"/>
      <c r="K3631" s="1477">
        <f>H3631+I3631-J3631</f>
        <v>0</v>
      </c>
      <c r="L3631" s="291"/>
      <c r="M3631" s="291"/>
      <c r="N3631" s="291"/>
      <c r="O3631" s="291"/>
      <c r="S3631" s="364"/>
      <c r="Z3631" s="609" t="s">
        <v>3893</v>
      </c>
      <c r="AA3631" s="609" t="s">
        <v>5679</v>
      </c>
    </row>
    <row r="3632" spans="1:29" ht="17">
      <c r="A3632" s="2714"/>
      <c r="B3632" s="371">
        <v>102</v>
      </c>
      <c r="C3632" s="371"/>
      <c r="D3632" s="2716">
        <f t="shared" si="411"/>
        <v>1</v>
      </c>
      <c r="E3632" s="2721">
        <v>1</v>
      </c>
      <c r="F3632" s="340"/>
      <c r="G3632" s="1474" t="s">
        <v>3901</v>
      </c>
      <c r="H3632" s="2275"/>
      <c r="I3632" s="2275"/>
      <c r="J3632" s="2275"/>
      <c r="K3632" s="1477">
        <f t="shared" ref="K3632:K3647" si="412">H3632+I3632-J3632</f>
        <v>0</v>
      </c>
      <c r="L3632" s="291"/>
      <c r="M3632" s="291"/>
      <c r="N3632" s="291"/>
      <c r="O3632" s="291"/>
      <c r="S3632" s="364"/>
      <c r="Z3632" s="609" t="s">
        <v>3893</v>
      </c>
      <c r="AA3632" s="609" t="s">
        <v>5679</v>
      </c>
    </row>
    <row r="3633" spans="1:27" ht="17">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5679</v>
      </c>
    </row>
    <row r="3634" spans="1:27" ht="17">
      <c r="A3634" s="2714"/>
      <c r="B3634" s="371">
        <v>103.001</v>
      </c>
      <c r="C3634" s="371"/>
      <c r="D3634" s="2716">
        <f t="shared" si="411"/>
        <v>1</v>
      </c>
      <c r="E3634" s="2721" t="s">
        <v>3903</v>
      </c>
      <c r="F3634" s="340"/>
      <c r="G3634" s="1474" t="s">
        <v>3905</v>
      </c>
      <c r="H3634" s="2275"/>
      <c r="I3634" s="2275"/>
      <c r="J3634" s="2275"/>
      <c r="K3634" s="1477">
        <f t="shared" si="412"/>
        <v>0</v>
      </c>
      <c r="L3634" s="291"/>
      <c r="M3634" s="291"/>
      <c r="N3634" s="291"/>
      <c r="O3634" s="291"/>
      <c r="S3634" s="364"/>
      <c r="Z3634" s="609" t="s">
        <v>3893</v>
      </c>
      <c r="AA3634" s="609" t="s">
        <v>5679</v>
      </c>
    </row>
    <row r="3635" spans="1:27" ht="17">
      <c r="A3635" s="2714"/>
      <c r="B3635" s="371">
        <v>103.002</v>
      </c>
      <c r="C3635" s="371"/>
      <c r="D3635" s="2716">
        <f t="shared" si="411"/>
        <v>1</v>
      </c>
      <c r="E3635" s="2721" t="s">
        <v>3903</v>
      </c>
      <c r="F3635" s="340"/>
      <c r="G3635" s="603" t="s">
        <v>3906</v>
      </c>
      <c r="H3635" s="2275"/>
      <c r="I3635" s="2275"/>
      <c r="J3635" s="2275"/>
      <c r="K3635" s="1477">
        <f t="shared" si="412"/>
        <v>0</v>
      </c>
      <c r="L3635" s="291"/>
      <c r="M3635" s="291"/>
      <c r="N3635" s="291"/>
      <c r="O3635" s="291"/>
      <c r="S3635" s="364"/>
      <c r="Z3635" s="609" t="s">
        <v>3893</v>
      </c>
      <c r="AA3635" s="609" t="s">
        <v>5679</v>
      </c>
    </row>
    <row r="3636" spans="1:27" ht="17">
      <c r="A3636" s="2714"/>
      <c r="B3636" s="371">
        <v>103.003</v>
      </c>
      <c r="C3636" s="371"/>
      <c r="D3636" s="2716">
        <f t="shared" si="411"/>
        <v>1</v>
      </c>
      <c r="E3636" s="2721" t="s">
        <v>3903</v>
      </c>
      <c r="F3636" s="340"/>
      <c r="G3636" s="603" t="s">
        <v>3907</v>
      </c>
      <c r="H3636" s="2275"/>
      <c r="I3636" s="2275"/>
      <c r="J3636" s="2275"/>
      <c r="K3636" s="1477">
        <f t="shared" si="412"/>
        <v>0</v>
      </c>
      <c r="L3636" s="291"/>
      <c r="M3636" s="291"/>
      <c r="N3636" s="291"/>
      <c r="O3636" s="291"/>
      <c r="S3636" s="364"/>
      <c r="Z3636" s="609" t="s">
        <v>3893</v>
      </c>
      <c r="AA3636" s="609" t="s">
        <v>5679</v>
      </c>
    </row>
    <row r="3637" spans="1:27" ht="17">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5679</v>
      </c>
    </row>
    <row r="3638" spans="1:27" ht="17">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5679</v>
      </c>
    </row>
    <row r="3639" spans="1:27" ht="17">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5679</v>
      </c>
    </row>
    <row r="3640" spans="1:27" ht="17">
      <c r="A3640" s="2714"/>
      <c r="B3640" s="371">
        <v>103.999</v>
      </c>
      <c r="C3640" s="371" t="s">
        <v>2793</v>
      </c>
      <c r="D3640" s="2716">
        <f t="shared" si="411"/>
        <v>1</v>
      </c>
      <c r="E3640" s="2721">
        <v>1</v>
      </c>
      <c r="F3640" s="340"/>
      <c r="G3640" s="1474" t="s">
        <v>3903</v>
      </c>
      <c r="H3640" s="1476">
        <f>SUMIF($E$3630:$E$3647,$G3640,H$3630:H$3647)</f>
        <v>0</v>
      </c>
      <c r="I3640" s="1476">
        <f>SUMIF($E$3630:$E$3647,$G3640,I$3630:I$3647)</f>
        <v>0</v>
      </c>
      <c r="J3640" s="1476">
        <f>SUMIF($E$3630:$E$3647,$G3640,J$3630:J$3647)</f>
        <v>0</v>
      </c>
      <c r="K3640" s="1477">
        <f>SUMIF($E$3630:$E$3647,$G3640,K$3630:K$3647)</f>
        <v>0</v>
      </c>
      <c r="L3640" s="291"/>
      <c r="M3640" s="291"/>
      <c r="N3640" s="291"/>
      <c r="O3640" s="291"/>
      <c r="S3640" s="364"/>
      <c r="Z3640" s="609" t="s">
        <v>3893</v>
      </c>
      <c r="AA3640" s="609" t="s">
        <v>5679</v>
      </c>
    </row>
    <row r="3641" spans="1:27" ht="17">
      <c r="A3641" s="2714"/>
      <c r="B3641" s="371">
        <v>104</v>
      </c>
      <c r="C3641" s="371"/>
      <c r="D3641" s="2716">
        <f t="shared" si="411"/>
        <v>1</v>
      </c>
      <c r="E3641" s="2721">
        <v>1</v>
      </c>
      <c r="F3641" s="340"/>
      <c r="G3641" s="1474" t="s">
        <v>3908</v>
      </c>
      <c r="H3641" s="2275"/>
      <c r="I3641" s="2275"/>
      <c r="J3641" s="2275"/>
      <c r="K3641" s="1477">
        <f t="shared" si="412"/>
        <v>0</v>
      </c>
      <c r="L3641" s="291"/>
      <c r="M3641" s="291"/>
      <c r="N3641" s="291"/>
      <c r="O3641" s="291"/>
      <c r="S3641" s="364"/>
      <c r="Z3641" s="609" t="s">
        <v>3893</v>
      </c>
      <c r="AA3641" s="609" t="s">
        <v>5679</v>
      </c>
    </row>
    <row r="3642" spans="1:27" ht="26">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5679</v>
      </c>
    </row>
    <row r="3643" spans="1:27" ht="17">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5679</v>
      </c>
    </row>
    <row r="3644" spans="1:27" ht="17">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5679</v>
      </c>
    </row>
    <row r="3645" spans="1:27" ht="17">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5679</v>
      </c>
    </row>
    <row r="3646" spans="1:27" ht="17">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5679</v>
      </c>
    </row>
    <row r="3647" spans="1:27" ht="17">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5679</v>
      </c>
    </row>
    <row r="3648" spans="1:27" ht="17.5" thickBot="1">
      <c r="A3648" s="2714"/>
      <c r="B3648" s="371"/>
      <c r="C3648" s="371"/>
      <c r="D3648" s="2716">
        <f t="shared" si="411"/>
        <v>1</v>
      </c>
      <c r="E3648" s="2721" t="s">
        <v>2751</v>
      </c>
      <c r="F3648" s="340"/>
      <c r="G3648" s="374" t="s">
        <v>2752</v>
      </c>
      <c r="H3648" s="1478">
        <f>SUMPRODUCT($E3630:$E3647,H3630:H3647)</f>
        <v>0</v>
      </c>
      <c r="I3648" s="1478">
        <f>SUMPRODUCT($E3630:$E3647,I3630:I3647)</f>
        <v>0</v>
      </c>
      <c r="J3648" s="1478">
        <f>SUMPRODUCT($E3630:$E3647,J3630:J3647)</f>
        <v>0</v>
      </c>
      <c r="K3648" s="1479">
        <f>SUMPRODUCT($E3630:$E3647,K3630:K3647)</f>
        <v>0</v>
      </c>
      <c r="L3648" s="291"/>
      <c r="M3648" s="291"/>
      <c r="N3648" s="291"/>
      <c r="O3648" s="291"/>
      <c r="S3648" s="364"/>
      <c r="Z3648" s="609" t="s">
        <v>3893</v>
      </c>
      <c r="AA3648" s="609" t="s">
        <v>5679</v>
      </c>
    </row>
    <row r="3649" spans="1:27" ht="1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5679</v>
      </c>
    </row>
    <row r="3650" spans="1:27" ht="17.5" thickTop="1">
      <c r="A3650" s="2714"/>
      <c r="B3650" s="371"/>
      <c r="C3650" s="371" t="s">
        <v>2565</v>
      </c>
      <c r="D3650" s="371"/>
      <c r="F3650" s="294"/>
      <c r="G3650" s="1561" t="s">
        <v>5368</v>
      </c>
      <c r="H3650" s="1550" t="str">
        <f>G3618</f>
        <v>(1)应付职工薪酬列示</v>
      </c>
      <c r="I3650" s="1552"/>
      <c r="J3650" s="1552"/>
      <c r="K3650" s="1552"/>
      <c r="L3650" s="1553" t="s">
        <v>5369</v>
      </c>
      <c r="M3650" s="291"/>
      <c r="N3650" s="291"/>
      <c r="O3650" s="291"/>
      <c r="S3650" s="364"/>
      <c r="Z3650" s="609" t="s">
        <v>3893</v>
      </c>
      <c r="AA3650" s="609" t="s">
        <v>5679</v>
      </c>
    </row>
    <row r="3651" spans="1:27" ht="17">
      <c r="A3651" s="2714"/>
      <c r="B3651" s="371"/>
      <c r="C3651" s="371" t="s">
        <v>2565</v>
      </c>
      <c r="D3651" s="371"/>
      <c r="F3651" s="294"/>
      <c r="G3651" s="604" t="str">
        <f>"注释A:"&amp; G3621</f>
        <v>注释A:一、短期薪酬</v>
      </c>
      <c r="H3651" s="2252">
        <f ca="1">HYPERLINK("#'"&amp;$G$1&amp;"'!"&amp;ADDRESS(ROW(Notes!H3621),COLUMN(Notes!H3621),4),H3621)</f>
        <v>0</v>
      </c>
      <c r="I3651" s="2252">
        <f ca="1">HYPERLINK("#'"&amp;$G$1&amp;"'!"&amp;ADDRESS(ROW(Notes!I3621),COLUMN(Notes!I3621),4),I3621)</f>
        <v>0</v>
      </c>
      <c r="J3651" s="2252">
        <f ca="1">HYPERLINK("#'"&amp;$G$1&amp;"'!"&amp;ADDRESS(ROW(Notes!J3621),COLUMN(Notes!J3621),4),J3621)</f>
        <v>0</v>
      </c>
      <c r="K3651" s="2252">
        <f ca="1">HYPERLINK("#'"&amp;$G$1&amp;"'!"&amp;ADDRESS(ROW(Notes!K3621),COLUMN(Notes!K3621),4),K3621)</f>
        <v>0</v>
      </c>
      <c r="L3651" s="2632" t="str">
        <f>H3618</f>
        <v>2211a</v>
      </c>
      <c r="M3651" s="291"/>
      <c r="N3651" s="291"/>
      <c r="O3651" s="291"/>
      <c r="S3651" s="364"/>
      <c r="Z3651" s="609" t="s">
        <v>3893</v>
      </c>
      <c r="AA3651" s="609" t="s">
        <v>5679</v>
      </c>
    </row>
    <row r="3652" spans="1:27" ht="17">
      <c r="A3652" s="2714"/>
      <c r="B3652" s="371"/>
      <c r="C3652" s="371" t="s">
        <v>2565</v>
      </c>
      <c r="D3652" s="371"/>
      <c r="F3652" s="294"/>
      <c r="G3652" s="604" t="str">
        <f>"本注释B:"&amp; G3648</f>
        <v>本注释B:合       计</v>
      </c>
      <c r="H3652" s="456">
        <f>H3648</f>
        <v>0</v>
      </c>
      <c r="I3652" s="456">
        <f t="shared" ref="I3652:K3652" si="413">I3648</f>
        <v>0</v>
      </c>
      <c r="J3652" s="456">
        <f t="shared" si="413"/>
        <v>0</v>
      </c>
      <c r="K3652" s="456">
        <f t="shared" si="413"/>
        <v>0</v>
      </c>
      <c r="L3652" s="2638" t="s">
        <v>1505</v>
      </c>
      <c r="M3652" s="291"/>
      <c r="N3652" s="291"/>
      <c r="O3652" s="291"/>
      <c r="S3652" s="364"/>
      <c r="Z3652" s="609" t="s">
        <v>3893</v>
      </c>
      <c r="AA3652" s="609" t="s">
        <v>5679</v>
      </c>
    </row>
    <row r="3653" spans="1:27" ht="1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5679</v>
      </c>
    </row>
    <row r="3654" spans="1:27" ht="1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5679</v>
      </c>
    </row>
    <row r="3655" spans="1:27" ht="17">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5679</v>
      </c>
    </row>
    <row r="3656" spans="1:27" ht="17">
      <c r="A3656" s="2714"/>
      <c r="B3656" s="371"/>
      <c r="C3656" s="371" t="s">
        <v>2565</v>
      </c>
      <c r="D3656" s="371"/>
      <c r="F3656" s="294"/>
      <c r="G3656" s="2640"/>
      <c r="H3656" s="461"/>
      <c r="I3656" s="461"/>
      <c r="J3656" s="461"/>
      <c r="K3656" s="461"/>
      <c r="L3656" s="354"/>
      <c r="M3656" s="291"/>
      <c r="N3656" s="291"/>
      <c r="O3656" s="291"/>
      <c r="S3656" s="364"/>
      <c r="Z3656" s="609" t="s">
        <v>3893</v>
      </c>
      <c r="AA3656" s="609" t="s">
        <v>5679</v>
      </c>
    </row>
    <row r="3657" spans="1:27" ht="17">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0</v>
      </c>
      <c r="L3657" s="345"/>
      <c r="M3657" s="301" t="s">
        <v>2745</v>
      </c>
      <c r="N3657" s="2210">
        <f>H3672</f>
        <v>0</v>
      </c>
      <c r="O3657" s="345"/>
      <c r="P3657" s="301"/>
      <c r="Q3657" s="290" t="str">
        <f>IF($I3657="不适用","",IF(ROUND(SUM($H$3660:$K$3672),2)=0,"请输入",""))</f>
        <v>请输入</v>
      </c>
      <c r="S3657" s="364"/>
      <c r="Z3657" s="609" t="s">
        <v>3893</v>
      </c>
      <c r="AA3657" s="609" t="s">
        <v>5679</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5679</v>
      </c>
    </row>
    <row r="3659" spans="1:27" ht="26">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5306</v>
      </c>
      <c r="M3659" s="291"/>
      <c r="N3659" s="291"/>
      <c r="O3659" s="291"/>
      <c r="S3659" s="364"/>
      <c r="Z3659" s="609" t="s">
        <v>3893</v>
      </c>
      <c r="AA3659" s="609" t="s">
        <v>5679</v>
      </c>
    </row>
    <row r="3660" spans="1:27" ht="17">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5679</v>
      </c>
    </row>
    <row r="3661" spans="1:27" ht="17">
      <c r="A3661" s="2714"/>
      <c r="B3661" s="371">
        <v>101.001</v>
      </c>
      <c r="C3661" s="371"/>
      <c r="D3661" s="2716">
        <f t="shared" si="414"/>
        <v>1</v>
      </c>
      <c r="E3661" s="2721" t="s">
        <v>3914</v>
      </c>
      <c r="F3661" s="294"/>
      <c r="G3661" s="603" t="s">
        <v>3915</v>
      </c>
      <c r="H3661" s="2275"/>
      <c r="I3661" s="2275"/>
      <c r="J3661" s="2275"/>
      <c r="K3661" s="1477">
        <f>H3661+I3661-J3661</f>
        <v>0</v>
      </c>
      <c r="L3661" s="291"/>
      <c r="M3661" s="291"/>
      <c r="N3661" s="291"/>
      <c r="O3661" s="291"/>
      <c r="S3661" s="364"/>
      <c r="Z3661" s="609" t="s">
        <v>3893</v>
      </c>
      <c r="AA3661" s="609" t="s">
        <v>5679</v>
      </c>
    </row>
    <row r="3662" spans="1:27" ht="17">
      <c r="A3662" s="2714"/>
      <c r="B3662" s="371">
        <v>101.002</v>
      </c>
      <c r="C3662" s="371"/>
      <c r="D3662" s="2716">
        <f t="shared" si="414"/>
        <v>1</v>
      </c>
      <c r="E3662" s="2721" t="s">
        <v>3914</v>
      </c>
      <c r="F3662" s="294"/>
      <c r="G3662" s="603" t="s">
        <v>3916</v>
      </c>
      <c r="H3662" s="2275"/>
      <c r="I3662" s="2275"/>
      <c r="J3662" s="2275"/>
      <c r="K3662" s="1477">
        <f>H3662+I3662-J3662</f>
        <v>0</v>
      </c>
      <c r="L3662" s="291"/>
      <c r="M3662" s="291"/>
      <c r="N3662" s="291"/>
      <c r="O3662" s="291"/>
      <c r="S3662" s="364"/>
      <c r="Z3662" s="609" t="s">
        <v>3893</v>
      </c>
      <c r="AA3662" s="609" t="s">
        <v>5679</v>
      </c>
    </row>
    <row r="3663" spans="1:27" ht="17">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5679</v>
      </c>
    </row>
    <row r="3664" spans="1:27" ht="17">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5679</v>
      </c>
    </row>
    <row r="3665" spans="1:29" ht="17">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5679</v>
      </c>
    </row>
    <row r="3666" spans="1:29" ht="17">
      <c r="A3666" s="2714"/>
      <c r="B3666" s="371">
        <v>101.999</v>
      </c>
      <c r="C3666" s="371" t="s">
        <v>2793</v>
      </c>
      <c r="D3666" s="2716">
        <f t="shared" si="414"/>
        <v>1</v>
      </c>
      <c r="E3666" s="2721">
        <v>1</v>
      </c>
      <c r="F3666" s="294"/>
      <c r="G3666" s="1474" t="s">
        <v>3914</v>
      </c>
      <c r="H3666" s="1476">
        <f>SUMIF($E$3659:$E$3671,$G3666,H$3659:H$3671)</f>
        <v>0</v>
      </c>
      <c r="I3666" s="1476">
        <f>SUMIF($E$3659:$E$3671,$G3666,I$3659:I$3671)</f>
        <v>0</v>
      </c>
      <c r="J3666" s="1476">
        <f>SUMIF($E$3659:$E$3671,$G3666,J$3659:J$3671)</f>
        <v>0</v>
      </c>
      <c r="K3666" s="1477">
        <f>SUMIF($E$3659:$E$3671,$G3666,K$3659:K$3671)</f>
        <v>0</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5679</v>
      </c>
      <c r="AC3666" s="369" t="s">
        <v>6575</v>
      </c>
    </row>
    <row r="3667" spans="1:29" ht="17">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5679</v>
      </c>
    </row>
    <row r="3668" spans="1:29" ht="17">
      <c r="A3668" s="2714"/>
      <c r="B3668" s="371">
        <v>103</v>
      </c>
      <c r="C3668" s="371" t="s">
        <v>2791</v>
      </c>
      <c r="D3668" s="2716">
        <f t="shared" si="414"/>
        <v>1</v>
      </c>
      <c r="E3668" s="2721">
        <v>0</v>
      </c>
      <c r="F3668" s="294"/>
      <c r="G3668" s="578" t="s">
        <v>3919</v>
      </c>
      <c r="H3668" s="2275"/>
      <c r="I3668" s="2275"/>
      <c r="J3668" s="2275"/>
      <c r="K3668" s="1477">
        <f>H3668+I3668-J3668</f>
        <v>0</v>
      </c>
      <c r="L3668" s="355" t="s">
        <v>6074</v>
      </c>
      <c r="M3668" s="291"/>
      <c r="N3668" s="291"/>
      <c r="O3668" s="291"/>
      <c r="S3668" s="364"/>
      <c r="Z3668" s="609" t="s">
        <v>3893</v>
      </c>
      <c r="AA3668" s="609" t="s">
        <v>5679</v>
      </c>
    </row>
    <row r="3669" spans="1:29" ht="17">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5679</v>
      </c>
    </row>
    <row r="3670" spans="1:29" ht="17">
      <c r="A3670" s="2714"/>
      <c r="B3670" s="371">
        <v>105</v>
      </c>
      <c r="C3670" s="371" t="s">
        <v>6534</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5679</v>
      </c>
    </row>
    <row r="3671" spans="1:29" ht="17">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5679</v>
      </c>
    </row>
    <row r="3672" spans="1:29" ht="17.5" thickBot="1">
      <c r="A3672" s="2714"/>
      <c r="B3672" s="371"/>
      <c r="C3672" s="371"/>
      <c r="D3672" s="2716">
        <f t="shared" si="414"/>
        <v>1</v>
      </c>
      <c r="E3672" s="2721" t="s">
        <v>2751</v>
      </c>
      <c r="F3672" s="294"/>
      <c r="G3672" s="374" t="s">
        <v>2752</v>
      </c>
      <c r="H3672" s="1496">
        <f>SUMPRODUCT($E3659:$E3671,H3659:H3671)</f>
        <v>0</v>
      </c>
      <c r="I3672" s="1496">
        <f>SUMPRODUCT($E3659:$E3671,I3659:I3671)</f>
        <v>0</v>
      </c>
      <c r="J3672" s="1496">
        <f>SUMPRODUCT($E3659:$E3671,J3659:J3671)</f>
        <v>0</v>
      </c>
      <c r="K3672" s="2594">
        <f>SUMPRODUCT($E3659:$E3671,K3659:K3671)</f>
        <v>0</v>
      </c>
      <c r="L3672" s="291"/>
      <c r="M3672" s="291"/>
      <c r="N3672" s="291"/>
      <c r="O3672" s="291"/>
      <c r="S3672" s="364"/>
      <c r="Z3672" s="609" t="s">
        <v>3893</v>
      </c>
      <c r="AA3672" s="609" t="s">
        <v>5679</v>
      </c>
    </row>
    <row r="3673" spans="1:29" ht="1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5679</v>
      </c>
    </row>
    <row r="3674" spans="1:29" ht="17.5" thickTop="1">
      <c r="A3674" s="2714"/>
      <c r="B3674" s="371"/>
      <c r="C3674" s="371" t="s">
        <v>2565</v>
      </c>
      <c r="D3674" s="371"/>
      <c r="F3674" s="294"/>
      <c r="G3674" s="1561" t="s">
        <v>5368</v>
      </c>
      <c r="H3674" s="1550" t="str">
        <f>G3618</f>
        <v>(1)应付职工薪酬列示</v>
      </c>
      <c r="I3674" s="1552"/>
      <c r="J3674" s="1552"/>
      <c r="K3674" s="1552"/>
      <c r="L3674" s="1553" t="s">
        <v>5369</v>
      </c>
      <c r="M3674" s="291"/>
      <c r="N3674" s="291"/>
      <c r="O3674" s="291"/>
      <c r="S3674" s="364"/>
      <c r="Z3674" s="609" t="s">
        <v>3893</v>
      </c>
      <c r="AA3674" s="609" t="s">
        <v>5679</v>
      </c>
    </row>
    <row r="3675" spans="1:29" ht="26">
      <c r="A3675" s="2714"/>
      <c r="B3675" s="371"/>
      <c r="C3675" s="371" t="s">
        <v>2565</v>
      </c>
      <c r="D3675" s="371"/>
      <c r="F3675" s="294"/>
      <c r="G3675" s="604" t="str">
        <f>"注释A:"&amp; G3622</f>
        <v>注释A:二、离职后福利-设定提存计划</v>
      </c>
      <c r="H3675" s="2252">
        <f ca="1">HYPERLINK("#'"&amp;$G$1&amp;"'!"&amp;ADDRESS(ROW(Notes!H3622),COLUMN(Notes!H3622),4),H3622)</f>
        <v>0</v>
      </c>
      <c r="I3675" s="2252">
        <f ca="1">HYPERLINK("#'"&amp;$G$1&amp;"'!"&amp;ADDRESS(ROW(Notes!I3622),COLUMN(Notes!I3622),4),I3622)</f>
        <v>0</v>
      </c>
      <c r="J3675" s="2252">
        <f ca="1">HYPERLINK("#'"&amp;$G$1&amp;"'!"&amp;ADDRESS(ROW(Notes!J3622),COLUMN(Notes!J3622),4),J3622)</f>
        <v>0</v>
      </c>
      <c r="K3675" s="2252">
        <f ca="1">HYPERLINK("#'"&amp;$G$1&amp;"'!"&amp;ADDRESS(ROW(Notes!K3622),COLUMN(Notes!K3622),4),K3622)</f>
        <v>0</v>
      </c>
      <c r="L3675" s="2632" t="str">
        <f>H3618</f>
        <v>2211a</v>
      </c>
      <c r="M3675" s="291"/>
      <c r="N3675" s="291"/>
      <c r="O3675" s="291"/>
      <c r="S3675" s="364"/>
      <c r="Z3675" s="609" t="s">
        <v>3893</v>
      </c>
      <c r="AA3675" s="609" t="s">
        <v>5679</v>
      </c>
    </row>
    <row r="3676" spans="1:29" ht="17">
      <c r="A3676" s="2714"/>
      <c r="B3676" s="371"/>
      <c r="C3676" s="371" t="s">
        <v>2565</v>
      </c>
      <c r="D3676" s="371"/>
      <c r="F3676" s="294"/>
      <c r="G3676" s="604" t="str">
        <f>"本注释B:"&amp; G3666</f>
        <v>本注释B:离职后福利小计</v>
      </c>
      <c r="H3676" s="2252">
        <f ca="1">HYPERLINK("#'"&amp;$G$1&amp;"'!"&amp;ADDRESS(ROW(Notes!H3666),COLUMN(Notes!H3666),4),H3666)</f>
        <v>0</v>
      </c>
      <c r="I3676" s="2252">
        <f ca="1">HYPERLINK("#'"&amp;$G$1&amp;"'!"&amp;ADDRESS(ROW(Notes!I3666),COLUMN(Notes!I3666),4),I3666)</f>
        <v>0</v>
      </c>
      <c r="J3676" s="2252">
        <f ca="1">HYPERLINK("#'"&amp;$G$1&amp;"'!"&amp;ADDRESS(ROW(Notes!J3666),COLUMN(Notes!J3666),4),J3666)</f>
        <v>0</v>
      </c>
      <c r="K3676" s="2252">
        <f ca="1">HYPERLINK("#'"&amp;$G$1&amp;"'!"&amp;ADDRESS(ROW(Notes!K3666),COLUMN(Notes!K3666),4),K3666)</f>
        <v>0</v>
      </c>
      <c r="L3676" s="2638" t="s">
        <v>1510</v>
      </c>
      <c r="M3676" s="291"/>
      <c r="N3676" s="291"/>
      <c r="O3676" s="291"/>
      <c r="S3676" s="364"/>
      <c r="Z3676" s="609" t="s">
        <v>3893</v>
      </c>
      <c r="AA3676" s="609" t="s">
        <v>5679</v>
      </c>
    </row>
    <row r="3677" spans="1:29" ht="1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5679</v>
      </c>
    </row>
    <row r="3678" spans="1:29" ht="1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5679</v>
      </c>
    </row>
    <row r="3679" spans="1:29" ht="17">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5679</v>
      </c>
    </row>
    <row r="3680" spans="1:29" ht="17">
      <c r="A3680" s="2714"/>
      <c r="B3680" s="371"/>
      <c r="C3680" s="371" t="s">
        <v>2565</v>
      </c>
      <c r="D3680" s="371"/>
      <c r="F3680" s="294"/>
      <c r="G3680" s="2640"/>
      <c r="H3680" s="461"/>
      <c r="I3680" s="461"/>
      <c r="J3680" s="461"/>
      <c r="K3680" s="461"/>
      <c r="L3680" s="354"/>
      <c r="M3680" s="291"/>
      <c r="N3680" s="291"/>
      <c r="O3680" s="291"/>
      <c r="S3680" s="364"/>
      <c r="Z3680" s="609" t="s">
        <v>3893</v>
      </c>
      <c r="AA3680" s="609" t="s">
        <v>5679</v>
      </c>
    </row>
    <row r="3681" spans="1:27" ht="17">
      <c r="A3681" s="2714" t="s">
        <v>1515</v>
      </c>
      <c r="B3681" s="371">
        <v>4</v>
      </c>
      <c r="C3681" s="371"/>
      <c r="D3681" s="2716" t="str">
        <f>VLOOKUP($A3681,Sheet_NoteList,2,0)</f>
        <v>应付职工薪酬分类列示</v>
      </c>
      <c r="E3681" s="2716" t="s">
        <v>6535</v>
      </c>
      <c r="F3681" s="294"/>
      <c r="G3681" s="372" t="str">
        <f>"("&amp;B3681&amp;")"&amp;D3681</f>
        <v>(4)应付职工薪酬分类列示</v>
      </c>
      <c r="H3681" s="1517" t="str">
        <f>$A3681</f>
        <v>2211d</v>
      </c>
      <c r="I3681" s="343" t="s">
        <v>5978</v>
      </c>
      <c r="J3681" s="301" t="s">
        <v>5980</v>
      </c>
      <c r="K3681" s="2210">
        <f>K3711</f>
        <v>0</v>
      </c>
      <c r="L3681" s="345"/>
      <c r="M3681" s="301" t="s">
        <v>5977</v>
      </c>
      <c r="N3681" s="2210">
        <f>H3711</f>
        <v>0</v>
      </c>
      <c r="O3681" s="345"/>
      <c r="P3681" s="301"/>
      <c r="S3681" s="364"/>
      <c r="Z3681" s="609" t="s">
        <v>3893</v>
      </c>
      <c r="AA3681" s="609" t="s">
        <v>5679</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5679</v>
      </c>
    </row>
    <row r="3683" spans="1:27" ht="26">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6177</v>
      </c>
      <c r="M3683" s="291"/>
      <c r="N3683" s="291"/>
      <c r="O3683" s="291"/>
      <c r="S3683" s="364"/>
      <c r="Z3683" s="609" t="s">
        <v>3893</v>
      </c>
      <c r="AA3683" s="609" t="s">
        <v>5679</v>
      </c>
    </row>
    <row r="3684" spans="1:27" ht="17">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5679</v>
      </c>
    </row>
    <row r="3685" spans="1:27" ht="17">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5679</v>
      </c>
    </row>
    <row r="3686" spans="1:27" ht="17">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5679</v>
      </c>
    </row>
    <row r="3687" spans="1:27" ht="17">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5679</v>
      </c>
    </row>
    <row r="3688" spans="1:27" ht="17">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5679</v>
      </c>
    </row>
    <row r="3689" spans="1:27" ht="17">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5679</v>
      </c>
    </row>
    <row r="3690" spans="1:27" ht="17">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5679</v>
      </c>
    </row>
    <row r="3691" spans="1:27" ht="26">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5679</v>
      </c>
    </row>
    <row r="3692" spans="1:27" ht="17">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5679</v>
      </c>
    </row>
    <row r="3693" spans="1:27" ht="17">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5679</v>
      </c>
    </row>
    <row r="3694" spans="1:27" ht="17">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5679</v>
      </c>
    </row>
    <row r="3695" spans="1:27" ht="17">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5679</v>
      </c>
    </row>
    <row r="3696" spans="1:27" ht="17">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5679</v>
      </c>
    </row>
    <row r="3697" spans="1:27" ht="17">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5679</v>
      </c>
    </row>
    <row r="3698" spans="1:27" ht="17">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5679</v>
      </c>
    </row>
    <row r="3699" spans="1:27" ht="17">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5679</v>
      </c>
    </row>
    <row r="3700" spans="1:27" ht="17">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5679</v>
      </c>
    </row>
    <row r="3701" spans="1:27" ht="26">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5679</v>
      </c>
    </row>
    <row r="3702" spans="1:27" ht="17">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5679</v>
      </c>
    </row>
    <row r="3703" spans="1:27" ht="17">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5679</v>
      </c>
    </row>
    <row r="3704" spans="1:27" ht="17">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5679</v>
      </c>
    </row>
    <row r="3705" spans="1:27" ht="17">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5679</v>
      </c>
    </row>
    <row r="3706" spans="1:27" ht="26">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5679</v>
      </c>
    </row>
    <row r="3707" spans="1:27" ht="17">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5679</v>
      </c>
    </row>
    <row r="3708" spans="1:27" ht="17">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5679</v>
      </c>
    </row>
    <row r="3709" spans="1:27" ht="17">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5679</v>
      </c>
    </row>
    <row r="3710" spans="1:27" ht="17">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5679</v>
      </c>
    </row>
    <row r="3711" spans="1:27" ht="1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5679</v>
      </c>
    </row>
    <row r="3712" spans="1:27" ht="17">
      <c r="A3712" s="2714"/>
      <c r="B3712" s="371"/>
      <c r="C3712" s="371" t="s">
        <v>2755</v>
      </c>
      <c r="D3712" s="371"/>
      <c r="F3712" s="294"/>
      <c r="G3712" s="557"/>
      <c r="H3712" s="315"/>
      <c r="I3712" s="315"/>
      <c r="J3712" s="315"/>
      <c r="K3712" s="315"/>
      <c r="L3712" s="291"/>
      <c r="M3712" s="291"/>
      <c r="N3712" s="291"/>
      <c r="O3712" s="291"/>
      <c r="S3712" s="364"/>
      <c r="Z3712" s="609" t="s">
        <v>3893</v>
      </c>
      <c r="AA3712" s="609" t="s">
        <v>5679</v>
      </c>
    </row>
    <row r="3713" spans="1:27" ht="17">
      <c r="A3713" s="2714" t="s">
        <v>1520</v>
      </c>
      <c r="B3713" s="371">
        <v>5</v>
      </c>
      <c r="C3713" s="371"/>
      <c r="D3713" s="2716" t="str">
        <f>VLOOKUP($A3713,Sheet_NoteList,2,0)</f>
        <v>应付职工薪酬补充资料</v>
      </c>
      <c r="E3713" s="2716" t="s">
        <v>6533</v>
      </c>
      <c r="F3713" s="294"/>
      <c r="G3713" s="307" t="str">
        <f>"("&amp;B3713&amp;")"&amp;D3713</f>
        <v>(5)应付职工薪酬补充资料</v>
      </c>
      <c r="H3713" s="1517" t="str">
        <f>$A3713</f>
        <v>2211x</v>
      </c>
      <c r="I3713" s="343" t="s">
        <v>5978</v>
      </c>
      <c r="J3713" s="301" t="s">
        <v>5976</v>
      </c>
      <c r="K3713" s="2210">
        <f>K3734</f>
        <v>0</v>
      </c>
      <c r="L3713" s="345"/>
      <c r="M3713" s="301" t="s">
        <v>5979</v>
      </c>
      <c r="N3713" s="2210">
        <f>H3734</f>
        <v>0</v>
      </c>
      <c r="O3713" s="345"/>
      <c r="P3713" s="301"/>
      <c r="S3713" s="364"/>
      <c r="Z3713" s="609" t="s">
        <v>3893</v>
      </c>
      <c r="AA3713" s="609" t="s">
        <v>5679</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5679</v>
      </c>
    </row>
    <row r="3715" spans="1:27" ht="17">
      <c r="A3715" s="2714"/>
      <c r="B3715" s="371"/>
      <c r="C3715" s="371"/>
      <c r="D3715" s="371"/>
      <c r="E3715" s="2716" t="s">
        <v>2749</v>
      </c>
      <c r="F3715" s="294"/>
      <c r="G3715" s="2386" t="s">
        <v>47</v>
      </c>
      <c r="H3715" s="2387" t="s">
        <v>2887</v>
      </c>
      <c r="I3715" s="2394" t="s">
        <v>2508</v>
      </c>
      <c r="J3715" s="355" t="s">
        <v>6177</v>
      </c>
      <c r="K3715" s="291"/>
      <c r="L3715" s="291"/>
      <c r="M3715" s="291"/>
      <c r="N3715" s="291"/>
      <c r="O3715" s="291"/>
      <c r="S3715" s="364"/>
      <c r="Z3715" s="609" t="s">
        <v>3893</v>
      </c>
      <c r="AA3715" s="609" t="s">
        <v>5679</v>
      </c>
    </row>
    <row r="3716" spans="1:27" ht="26">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5679</v>
      </c>
    </row>
    <row r="3717" spans="1:27" ht="17">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5679</v>
      </c>
    </row>
    <row r="3718" spans="1:27" ht="17">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5679</v>
      </c>
    </row>
    <row r="3719" spans="1:27" ht="17">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5679</v>
      </c>
    </row>
    <row r="3720" spans="1:27" ht="17">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5679</v>
      </c>
    </row>
    <row r="3721" spans="1:27" ht="17">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5679</v>
      </c>
    </row>
    <row r="3722" spans="1:27" ht="17">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5679</v>
      </c>
    </row>
    <row r="3723" spans="1:27" ht="17">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5679</v>
      </c>
    </row>
    <row r="3724" spans="1:27" ht="1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5679</v>
      </c>
    </row>
    <row r="3725" spans="1:27" ht="17">
      <c r="A3725" s="2714"/>
      <c r="B3725" s="371"/>
      <c r="C3725" s="371" t="s">
        <v>2755</v>
      </c>
      <c r="D3725" s="371"/>
      <c r="F3725" s="294"/>
      <c r="G3725" s="557"/>
      <c r="H3725" s="315"/>
      <c r="I3725" s="393"/>
      <c r="J3725" s="291"/>
      <c r="K3725" s="291"/>
      <c r="L3725" s="291"/>
      <c r="M3725" s="291"/>
      <c r="N3725" s="291"/>
      <c r="O3725" s="291"/>
      <c r="S3725" s="364"/>
      <c r="Z3725" s="609" t="s">
        <v>3893</v>
      </c>
      <c r="AA3725" s="609" t="s">
        <v>5679</v>
      </c>
    </row>
    <row r="3726" spans="1:27" ht="17">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0</v>
      </c>
      <c r="O3726" s="306"/>
      <c r="P3726" s="301"/>
      <c r="S3726" s="364"/>
      <c r="Z3726" s="609" t="s">
        <v>3943</v>
      </c>
      <c r="AA3726" s="609" t="s">
        <v>5680</v>
      </c>
    </row>
    <row r="3727" spans="1:27" ht="17">
      <c r="A3727" s="2714" t="s">
        <v>1528</v>
      </c>
      <c r="B3727" s="371">
        <v>1</v>
      </c>
      <c r="C3727" s="371"/>
      <c r="D3727" s="2716" t="str">
        <f>VLOOKUP($A3727,Sheet_NoteList,2,0)</f>
        <v>应交税费本期增减变动</v>
      </c>
      <c r="E3727" s="2716" t="s">
        <v>6532</v>
      </c>
      <c r="F3727" s="294"/>
      <c r="G3727" s="307" t="str">
        <f>"("&amp;B3727&amp;")"&amp;D3727</f>
        <v>(1)应交税费本期增减变动</v>
      </c>
      <c r="H3727" s="1517" t="str">
        <f>$A3727</f>
        <v>2221a</v>
      </c>
      <c r="I3727" s="343" t="s">
        <v>5520</v>
      </c>
      <c r="J3727" s="301" t="s">
        <v>5518</v>
      </c>
      <c r="K3727" s="2210">
        <f>H3744</f>
        <v>0</v>
      </c>
      <c r="L3727" s="345" t="str">
        <f>IF($I3727="适用",IF(ROUND(K3726-K3727,2)=0,"F/S",ROUND(K3726-K3727,2)),"#N/A")</f>
        <v>F/S</v>
      </c>
      <c r="M3727" s="301" t="s">
        <v>5519</v>
      </c>
      <c r="N3727" s="2210">
        <f>I3744</f>
        <v>0</v>
      </c>
      <c r="O3727" s="345" t="str">
        <f>IF($I3727="适用",IF(ROUND(N3726-N3727,2)=0,"F/S",ROUND(N3726-N3727,2)),"#N/A")</f>
        <v>F/S</v>
      </c>
      <c r="P3727" s="301"/>
      <c r="Q3727" s="290" t="str">
        <f>IF($I3727="不适用","",IF(ROUND(SUM($H$3730:$K$3744),2)=0,"请输入",""))</f>
        <v>请输入</v>
      </c>
      <c r="S3727" s="364"/>
      <c r="Z3727" s="609" t="s">
        <v>3943</v>
      </c>
      <c r="AA3727" s="609" t="s">
        <v>5680</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5680</v>
      </c>
    </row>
    <row r="3729" spans="1:29" ht="26">
      <c r="A3729" s="2714"/>
      <c r="B3729" s="371"/>
      <c r="C3729" s="371"/>
      <c r="D3729" s="371"/>
      <c r="E3729" s="2716" t="s">
        <v>2749</v>
      </c>
      <c r="F3729" s="294"/>
      <c r="G3729" s="514" t="s">
        <v>3951</v>
      </c>
      <c r="H3729" s="1454" t="str">
        <f>$V$2</f>
        <v>2019年12月31日</v>
      </c>
      <c r="I3729" s="1455" t="str">
        <f>$V$3</f>
        <v>2018年12月31日</v>
      </c>
      <c r="J3729" s="1606" t="s">
        <v>5539</v>
      </c>
      <c r="K3729" s="1605" t="s">
        <v>5540</v>
      </c>
      <c r="L3729" s="355" t="s">
        <v>5307</v>
      </c>
      <c r="M3729" s="472"/>
      <c r="N3729" s="442"/>
      <c r="O3729" s="442"/>
      <c r="P3729" s="442"/>
      <c r="Q3729" s="442"/>
      <c r="R3729" s="443"/>
      <c r="S3729" s="364"/>
      <c r="Z3729" s="609" t="s">
        <v>3943</v>
      </c>
      <c r="AA3729" s="609" t="s">
        <v>5680</v>
      </c>
    </row>
    <row r="3730" spans="1:29" ht="17">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5541</v>
      </c>
      <c r="M3730" s="472"/>
      <c r="N3730" s="442"/>
      <c r="O3730" s="442"/>
      <c r="P3730" s="442"/>
      <c r="Q3730" s="442"/>
      <c r="R3730" s="443"/>
      <c r="S3730" s="364"/>
      <c r="Z3730" s="609" t="s">
        <v>3943</v>
      </c>
      <c r="AA3730" s="609" t="s">
        <v>5680</v>
      </c>
    </row>
    <row r="3731" spans="1:29" ht="17">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5680</v>
      </c>
      <c r="AC3731" s="369" t="s">
        <v>2794</v>
      </c>
    </row>
    <row r="3732" spans="1:29" ht="17">
      <c r="A3732" s="2714"/>
      <c r="B3732" s="371">
        <v>103</v>
      </c>
      <c r="C3732" s="371"/>
      <c r="D3732" s="2716">
        <f t="shared" si="419"/>
        <v>1</v>
      </c>
      <c r="E3732" s="2721">
        <v>1</v>
      </c>
      <c r="F3732" s="294"/>
      <c r="G3732" s="380" t="s">
        <v>3946</v>
      </c>
      <c r="H3732" s="383"/>
      <c r="I3732" s="383"/>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5680</v>
      </c>
      <c r="AC3732" s="369" t="s">
        <v>2794</v>
      </c>
    </row>
    <row r="3733" spans="1:29" ht="17">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5680</v>
      </c>
    </row>
    <row r="3734" spans="1:29" ht="17">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5680</v>
      </c>
      <c r="AC3734" s="369" t="s">
        <v>2794</v>
      </c>
    </row>
    <row r="3735" spans="1:29" ht="17">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5680</v>
      </c>
      <c r="AC3735" s="369" t="s">
        <v>2794</v>
      </c>
    </row>
    <row r="3736" spans="1:29" ht="17">
      <c r="A3736" s="2714"/>
      <c r="B3736" s="371">
        <v>107</v>
      </c>
      <c r="C3736" s="371"/>
      <c r="D3736" s="2716">
        <f t="shared" si="419"/>
        <v>1</v>
      </c>
      <c r="E3736" s="2721">
        <v>1</v>
      </c>
      <c r="F3736" s="294"/>
      <c r="G3736" s="380" t="s">
        <v>5645</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5680</v>
      </c>
      <c r="AC3736" s="369" t="s">
        <v>2794</v>
      </c>
    </row>
    <row r="3737" spans="1:29" ht="17">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5680</v>
      </c>
      <c r="AC3737" s="369" t="s">
        <v>2794</v>
      </c>
    </row>
    <row r="3738" spans="1:29" ht="17">
      <c r="A3738" s="2714"/>
      <c r="B3738" s="371">
        <v>109</v>
      </c>
      <c r="C3738" s="371"/>
      <c r="D3738" s="2716">
        <f t="shared" si="419"/>
        <v>1</v>
      </c>
      <c r="E3738" s="2721">
        <v>1</v>
      </c>
      <c r="F3738" s="294"/>
      <c r="G3738" s="380" t="s">
        <v>5648</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5680</v>
      </c>
      <c r="AC3738" s="369" t="s">
        <v>2794</v>
      </c>
    </row>
    <row r="3739" spans="1:29" ht="17">
      <c r="A3739" s="2714"/>
      <c r="B3739" s="371">
        <v>110</v>
      </c>
      <c r="C3739" s="371"/>
      <c r="D3739" s="2716">
        <f t="shared" si="419"/>
        <v>1</v>
      </c>
      <c r="E3739" s="2721">
        <v>1</v>
      </c>
      <c r="F3739" s="294"/>
      <c r="G3739" s="380" t="s">
        <v>5647</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5680</v>
      </c>
      <c r="AC3739" s="369" t="s">
        <v>2794</v>
      </c>
    </row>
    <row r="3740" spans="1:29" ht="17">
      <c r="A3740" s="2714"/>
      <c r="B3740" s="371">
        <v>111</v>
      </c>
      <c r="C3740" s="371"/>
      <c r="D3740" s="2716">
        <f t="shared" si="419"/>
        <v>1</v>
      </c>
      <c r="E3740" s="2721">
        <v>1</v>
      </c>
      <c r="F3740" s="294"/>
      <c r="G3740" s="380" t="s">
        <v>5646</v>
      </c>
      <c r="H3740" s="383"/>
      <c r="I3740" s="383"/>
      <c r="J3740" s="383"/>
      <c r="K3740" s="401"/>
      <c r="L3740" s="472"/>
      <c r="M3740" s="472"/>
      <c r="N3740" s="442"/>
      <c r="O3740" s="442"/>
      <c r="P3740" s="442"/>
      <c r="Q3740" s="442"/>
      <c r="R3740" s="443"/>
      <c r="S3740" s="364"/>
      <c r="Z3740" s="609" t="s">
        <v>3943</v>
      </c>
      <c r="AA3740" s="609" t="s">
        <v>5680</v>
      </c>
    </row>
    <row r="3741" spans="1:29" ht="17">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5680</v>
      </c>
    </row>
    <row r="3742" spans="1:29" ht="17">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5680</v>
      </c>
    </row>
    <row r="3743" spans="1:29" ht="17">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5680</v>
      </c>
    </row>
    <row r="3744" spans="1:29" ht="1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5680</v>
      </c>
    </row>
    <row r="3745" spans="1:27" ht="17">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5680</v>
      </c>
    </row>
    <row r="3746" spans="1:27" ht="17">
      <c r="A3746" s="2714" t="s">
        <v>1533</v>
      </c>
      <c r="B3746" s="371">
        <v>2</v>
      </c>
      <c r="C3746" s="371"/>
      <c r="D3746" s="2716" t="str">
        <f>VLOOKUP($A3746,Sheet_NoteList,2,0)</f>
        <v>应交税费补充资料</v>
      </c>
      <c r="E3746" s="2716" t="s">
        <v>6533</v>
      </c>
      <c r="F3746" s="294"/>
      <c r="G3746" s="307" t="str">
        <f>"("&amp;B3746&amp;")"&amp;D3746</f>
        <v>(2)应交税费补充资料</v>
      </c>
      <c r="H3746" s="1517" t="str">
        <f>$A3746</f>
        <v>2221x</v>
      </c>
      <c r="I3746" s="343" t="s">
        <v>5966</v>
      </c>
      <c r="J3746" s="301" t="s">
        <v>5964</v>
      </c>
      <c r="K3746" s="2210">
        <f>K3757</f>
        <v>0</v>
      </c>
      <c r="L3746" s="345"/>
      <c r="M3746" s="301" t="s">
        <v>5965</v>
      </c>
      <c r="N3746" s="2210">
        <f>H3757</f>
        <v>0</v>
      </c>
      <c r="O3746" s="345"/>
      <c r="P3746" s="301"/>
      <c r="S3746" s="364"/>
      <c r="Z3746" s="609" t="s">
        <v>3943</v>
      </c>
      <c r="AA3746" s="609" t="s">
        <v>5680</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5680</v>
      </c>
    </row>
    <row r="3748" spans="1:27" ht="17">
      <c r="A3748" s="2714"/>
      <c r="B3748" s="371"/>
      <c r="C3748" s="371"/>
      <c r="D3748" s="371"/>
      <c r="E3748" s="2716" t="s">
        <v>2749</v>
      </c>
      <c r="F3748" s="294"/>
      <c r="G3748" s="2393" t="s">
        <v>3951</v>
      </c>
      <c r="H3748" s="2398" t="s">
        <v>2776</v>
      </c>
      <c r="I3748" s="2387" t="s">
        <v>3712</v>
      </c>
      <c r="J3748" s="2387" t="s">
        <v>3713</v>
      </c>
      <c r="K3748" s="2388" t="s">
        <v>2775</v>
      </c>
      <c r="L3748" s="355" t="s">
        <v>6177</v>
      </c>
      <c r="M3748" s="291"/>
      <c r="S3748" s="364"/>
      <c r="Z3748" s="609" t="s">
        <v>3943</v>
      </c>
      <c r="AA3748" s="609" t="s">
        <v>5680</v>
      </c>
    </row>
    <row r="3749" spans="1:27" ht="17">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5680</v>
      </c>
    </row>
    <row r="3750" spans="1:27" ht="17">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5680</v>
      </c>
    </row>
    <row r="3751" spans="1:27" ht="17">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5680</v>
      </c>
    </row>
    <row r="3752" spans="1:27" ht="17">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5680</v>
      </c>
    </row>
    <row r="3753" spans="1:27" ht="17">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5680</v>
      </c>
    </row>
    <row r="3754" spans="1:27" ht="17">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5680</v>
      </c>
    </row>
    <row r="3755" spans="1:27" ht="17">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5680</v>
      </c>
    </row>
    <row r="3756" spans="1:27" ht="17">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5680</v>
      </c>
    </row>
    <row r="3757" spans="1:27" ht="1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5680</v>
      </c>
    </row>
    <row r="3758" spans="1:27" ht="17">
      <c r="A3758" s="2714"/>
      <c r="B3758" s="371"/>
      <c r="C3758" s="371" t="s">
        <v>2755</v>
      </c>
      <c r="D3758" s="371"/>
      <c r="F3758" s="294"/>
      <c r="G3758" s="301"/>
      <c r="H3758" s="315"/>
      <c r="I3758" s="315"/>
      <c r="J3758" s="315"/>
      <c r="K3758" s="315"/>
      <c r="L3758" s="291"/>
      <c r="M3758" s="291"/>
      <c r="S3758" s="364"/>
      <c r="Z3758" s="609" t="s">
        <v>3943</v>
      </c>
      <c r="AA3758" s="609" t="s">
        <v>5680</v>
      </c>
    </row>
    <row r="3759" spans="1:27" ht="26">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20000</v>
      </c>
      <c r="L3759" s="342"/>
      <c r="M3759" s="306" t="s">
        <v>2741</v>
      </c>
      <c r="N3759" s="341">
        <f>VLOOKUP($A3759,Sheet_Trialbal,10,0)</f>
        <v>20000</v>
      </c>
      <c r="O3759" s="342"/>
      <c r="P3759" s="301"/>
      <c r="S3759" s="364"/>
      <c r="Z3759" s="609" t="s">
        <v>3959</v>
      </c>
      <c r="AA3759" s="609" t="s">
        <v>19</v>
      </c>
    </row>
    <row r="3760" spans="1:27" ht="17">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20000</v>
      </c>
      <c r="L3760" s="349"/>
      <c r="M3760" s="301" t="s">
        <v>2745</v>
      </c>
      <c r="N3760" s="2210">
        <f>I3767</f>
        <v>20000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26.5" thickTop="1">
      <c r="A3762" s="2714"/>
      <c r="B3762" s="371"/>
      <c r="C3762" s="371"/>
      <c r="D3762" s="2716"/>
      <c r="E3762" s="2716" t="s">
        <v>2749</v>
      </c>
      <c r="F3762" s="371"/>
      <c r="G3762" s="373" t="s">
        <v>47</v>
      </c>
      <c r="H3762" s="1454" t="str">
        <f>$V$2</f>
        <v>2019年12月31日</v>
      </c>
      <c r="I3762" s="1455" t="str">
        <f>$V$3</f>
        <v>2018年12月31日</v>
      </c>
      <c r="J3762" s="355" t="s">
        <v>5308</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7">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7">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7">
      <c r="A3765" s="2714"/>
      <c r="B3765" s="371">
        <v>103</v>
      </c>
      <c r="C3765" s="371"/>
      <c r="D3765" s="2716">
        <f t="shared" si="421"/>
        <v>1</v>
      </c>
      <c r="E3765" s="2721">
        <v>1</v>
      </c>
      <c r="F3765" s="371"/>
      <c r="G3765" s="308" t="s">
        <v>513</v>
      </c>
      <c r="H3765" s="309">
        <v>20000</v>
      </c>
      <c r="I3765" s="394">
        <v>20000</v>
      </c>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7">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7.5" thickBot="1">
      <c r="A3767" s="2714"/>
      <c r="B3767" s="371"/>
      <c r="C3767" s="371"/>
      <c r="D3767" s="2716">
        <f t="shared" si="421"/>
        <v>1</v>
      </c>
      <c r="E3767" s="2721" t="s">
        <v>2751</v>
      </c>
      <c r="F3767" s="371"/>
      <c r="G3767" s="374" t="s">
        <v>2752</v>
      </c>
      <c r="H3767" s="1478">
        <f>SUMPRODUCT($E3762:$E3766,H3762:H3766)</f>
        <v>20000</v>
      </c>
      <c r="I3767" s="1479">
        <f>SUMPRODUCT($E3762:$E3766,I3762:I3766)</f>
        <v>20000</v>
      </c>
      <c r="J3767" s="301"/>
      <c r="K3767" s="1531">
        <f t="shared" ref="K3767:L3767" ca="1" si="422">SUM(K3763:K3766)</f>
        <v>0</v>
      </c>
      <c r="L3767" s="1531">
        <f t="shared" ca="1" si="422"/>
        <v>0</v>
      </c>
      <c r="M3767" s="2667"/>
      <c r="N3767" s="391"/>
      <c r="O3767" s="349"/>
      <c r="P3767" s="301"/>
      <c r="S3767" s="364"/>
      <c r="Z3767" s="609" t="s">
        <v>3959</v>
      </c>
      <c r="AA3767" s="609" t="s">
        <v>19</v>
      </c>
    </row>
    <row r="3768" spans="1:27" ht="17">
      <c r="A3768" s="2714"/>
      <c r="B3768" s="371"/>
      <c r="C3768" s="371" t="s">
        <v>2755</v>
      </c>
      <c r="D3768" s="2716"/>
      <c r="F3768" s="371"/>
      <c r="G3768" s="376"/>
      <c r="H3768" s="315"/>
      <c r="I3768" s="396"/>
      <c r="J3768" s="301"/>
      <c r="K3768" s="1539" t="s">
        <v>5496</v>
      </c>
      <c r="L3768" s="317"/>
      <c r="M3768" s="354"/>
      <c r="N3768" s="391"/>
      <c r="O3768" s="349"/>
      <c r="P3768" s="301"/>
      <c r="S3768" s="364"/>
      <c r="Z3768" s="609" t="s">
        <v>3959</v>
      </c>
      <c r="AA3768" s="609" t="s">
        <v>19</v>
      </c>
    </row>
    <row r="3769" spans="1:27" ht="17">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5681</v>
      </c>
    </row>
    <row r="3770" spans="1:27" ht="17">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5681</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5681</v>
      </c>
    </row>
    <row r="3772" spans="1:27" ht="26">
      <c r="A3772" s="2714"/>
      <c r="B3772" s="371"/>
      <c r="C3772" s="371"/>
      <c r="D3772" s="371"/>
      <c r="E3772" s="2716" t="s">
        <v>2749</v>
      </c>
      <c r="F3772" s="294"/>
      <c r="G3772" s="1490" t="s">
        <v>47</v>
      </c>
      <c r="H3772" s="1454" t="str">
        <f>$V$2</f>
        <v>2019年12月31日</v>
      </c>
      <c r="I3772" s="1455" t="str">
        <f>$V$3</f>
        <v>2018年12月31日</v>
      </c>
      <c r="J3772" s="355" t="s">
        <v>5308</v>
      </c>
      <c r="K3772" s="291"/>
      <c r="L3772" s="291"/>
      <c r="M3772" s="291"/>
      <c r="S3772" s="364"/>
      <c r="Z3772" s="609" t="s">
        <v>3961</v>
      </c>
      <c r="AA3772" s="609" t="s">
        <v>5681</v>
      </c>
    </row>
    <row r="3773" spans="1:27" ht="26">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5681</v>
      </c>
    </row>
    <row r="3774" spans="1:27" ht="17">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5681</v>
      </c>
    </row>
    <row r="3775" spans="1:27" ht="17">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5681</v>
      </c>
    </row>
    <row r="3776" spans="1:27" ht="26">
      <c r="A3776" s="2714"/>
      <c r="B3776" s="371">
        <v>104</v>
      </c>
      <c r="C3776" s="371"/>
      <c r="D3776" s="2716">
        <f t="shared" si="423"/>
        <v>1</v>
      </c>
      <c r="E3776" s="2721" t="s">
        <v>6536</v>
      </c>
      <c r="F3776" s="294"/>
      <c r="G3776" s="308" t="s">
        <v>5220</v>
      </c>
      <c r="H3776" s="309"/>
      <c r="I3776" s="346"/>
      <c r="J3776" s="291"/>
      <c r="K3776" s="291"/>
      <c r="L3776" s="291"/>
      <c r="M3776" s="291"/>
      <c r="S3776" s="364"/>
      <c r="Z3776" s="609" t="s">
        <v>3961</v>
      </c>
      <c r="AA3776" s="609" t="s">
        <v>5681</v>
      </c>
    </row>
    <row r="3777" spans="1:29" ht="17">
      <c r="A3777" s="2714"/>
      <c r="B3777" s="371">
        <v>104.001</v>
      </c>
      <c r="C3777" s="371" t="s">
        <v>2791</v>
      </c>
      <c r="D3777" s="2716">
        <f t="shared" si="423"/>
        <v>1</v>
      </c>
      <c r="E3777" s="2721" t="s">
        <v>5221</v>
      </c>
      <c r="F3777" s="294"/>
      <c r="G3777" s="1489" t="s">
        <v>5226</v>
      </c>
      <c r="H3777" s="309"/>
      <c r="I3777" s="346"/>
      <c r="J3777" s="355" t="s">
        <v>6074</v>
      </c>
      <c r="K3777" s="291"/>
      <c r="L3777" s="291"/>
      <c r="M3777" s="291"/>
      <c r="S3777" s="364"/>
      <c r="Z3777" s="609" t="s">
        <v>3961</v>
      </c>
      <c r="AA3777" s="609" t="s">
        <v>5681</v>
      </c>
    </row>
    <row r="3778" spans="1:29" ht="17">
      <c r="A3778" s="2714"/>
      <c r="B3778" s="371">
        <v>104.002</v>
      </c>
      <c r="C3778" s="371" t="s">
        <v>2791</v>
      </c>
      <c r="D3778" s="2716">
        <f t="shared" si="423"/>
        <v>0</v>
      </c>
      <c r="E3778" s="2721" t="s">
        <v>5221</v>
      </c>
      <c r="F3778" s="294"/>
      <c r="G3778" s="1489" t="s">
        <v>5236</v>
      </c>
      <c r="H3778" s="309"/>
      <c r="I3778" s="346"/>
      <c r="J3778" s="291"/>
      <c r="K3778" s="291"/>
      <c r="L3778" s="291"/>
      <c r="M3778" s="291"/>
      <c r="S3778" s="364"/>
      <c r="Z3778" s="609" t="s">
        <v>3961</v>
      </c>
      <c r="AA3778" s="609" t="s">
        <v>5681</v>
      </c>
    </row>
    <row r="3779" spans="1:29" ht="17">
      <c r="A3779" s="2714"/>
      <c r="B3779" s="371">
        <v>104.003</v>
      </c>
      <c r="C3779" s="371" t="s">
        <v>2791</v>
      </c>
      <c r="D3779" s="2716">
        <f t="shared" si="423"/>
        <v>0</v>
      </c>
      <c r="E3779" s="2721" t="s">
        <v>5221</v>
      </c>
      <c r="F3779" s="294"/>
      <c r="G3779" s="1489" t="s">
        <v>2792</v>
      </c>
      <c r="H3779" s="309"/>
      <c r="I3779" s="346"/>
      <c r="J3779" s="291"/>
      <c r="K3779" s="291"/>
      <c r="L3779" s="291"/>
      <c r="M3779" s="291"/>
      <c r="S3779" s="364"/>
      <c r="Z3779" s="609" t="s">
        <v>3961</v>
      </c>
      <c r="AA3779" s="609" t="s">
        <v>5681</v>
      </c>
    </row>
    <row r="3780" spans="1:29" ht="26">
      <c r="A3780" s="2714"/>
      <c r="B3780" s="371">
        <v>104.999</v>
      </c>
      <c r="C3780" s="371" t="s">
        <v>2793</v>
      </c>
      <c r="D3780" s="2716">
        <f t="shared" si="423"/>
        <v>1</v>
      </c>
      <c r="E3780" s="2721">
        <v>1</v>
      </c>
      <c r="F3780" s="294"/>
      <c r="G3780" s="308" t="s">
        <v>5222</v>
      </c>
      <c r="H3780" s="1476">
        <f>SUMIF($E$3772:$E$3787,$G3780,H$3772:H$3787)</f>
        <v>0</v>
      </c>
      <c r="I3780" s="1477">
        <f>SUMIF($E$3772:$E$3787,$G3780,I$3772:I$3787)</f>
        <v>0</v>
      </c>
      <c r="J3780" s="291"/>
      <c r="K3780" s="291"/>
      <c r="L3780" s="291"/>
      <c r="M3780" s="291"/>
      <c r="S3780" s="364"/>
      <c r="Z3780" s="609" t="s">
        <v>3961</v>
      </c>
      <c r="AA3780" s="609" t="s">
        <v>5681</v>
      </c>
    </row>
    <row r="3781" spans="1:29" ht="26">
      <c r="A3781" s="2714"/>
      <c r="B3781" s="371">
        <v>105</v>
      </c>
      <c r="C3781" s="371"/>
      <c r="D3781" s="2716">
        <f t="shared" si="423"/>
        <v>1</v>
      </c>
      <c r="E3781" s="2721" t="s">
        <v>41</v>
      </c>
      <c r="F3781" s="294"/>
      <c r="G3781" s="308" t="s">
        <v>5223</v>
      </c>
      <c r="H3781" s="309"/>
      <c r="I3781" s="346"/>
      <c r="J3781" s="291"/>
      <c r="K3781" s="291"/>
      <c r="L3781" s="291"/>
      <c r="M3781" s="291"/>
      <c r="S3781" s="364"/>
      <c r="Z3781" s="609" t="s">
        <v>3961</v>
      </c>
      <c r="AA3781" s="609" t="s">
        <v>5681</v>
      </c>
    </row>
    <row r="3782" spans="1:29" ht="17">
      <c r="A3782" s="2714"/>
      <c r="B3782" s="371">
        <v>105.001</v>
      </c>
      <c r="C3782" s="371" t="s">
        <v>2791</v>
      </c>
      <c r="D3782" s="2716">
        <f t="shared" si="423"/>
        <v>1</v>
      </c>
      <c r="E3782" s="2721" t="s">
        <v>5224</v>
      </c>
      <c r="F3782" s="294"/>
      <c r="G3782" s="1489" t="s">
        <v>5237</v>
      </c>
      <c r="H3782" s="309"/>
      <c r="I3782" s="346"/>
      <c r="J3782" s="355" t="s">
        <v>6074</v>
      </c>
      <c r="K3782" s="291"/>
      <c r="L3782" s="291"/>
      <c r="M3782" s="291"/>
      <c r="S3782" s="364"/>
      <c r="Z3782" s="609" t="s">
        <v>3961</v>
      </c>
      <c r="AA3782" s="609" t="s">
        <v>5681</v>
      </c>
    </row>
    <row r="3783" spans="1:29" ht="17">
      <c r="A3783" s="2714"/>
      <c r="B3783" s="371">
        <v>105.002</v>
      </c>
      <c r="C3783" s="371" t="s">
        <v>2791</v>
      </c>
      <c r="D3783" s="2716">
        <f t="shared" si="423"/>
        <v>0</v>
      </c>
      <c r="E3783" s="2721" t="s">
        <v>5224</v>
      </c>
      <c r="F3783" s="294"/>
      <c r="G3783" s="1489" t="s">
        <v>5227</v>
      </c>
      <c r="H3783" s="309"/>
      <c r="I3783" s="346"/>
      <c r="J3783" s="291"/>
      <c r="K3783" s="291"/>
      <c r="L3783" s="291"/>
      <c r="M3783" s="291"/>
      <c r="S3783" s="364"/>
      <c r="Z3783" s="609" t="s">
        <v>3961</v>
      </c>
      <c r="AA3783" s="609" t="s">
        <v>5681</v>
      </c>
    </row>
    <row r="3784" spans="1:29" ht="17">
      <c r="A3784" s="2714"/>
      <c r="B3784" s="371">
        <v>105.003</v>
      </c>
      <c r="C3784" s="371" t="s">
        <v>6534</v>
      </c>
      <c r="D3784" s="2716">
        <f t="shared" si="423"/>
        <v>0</v>
      </c>
      <c r="E3784" s="2721" t="s">
        <v>5224</v>
      </c>
      <c r="F3784" s="294"/>
      <c r="G3784" s="1489" t="s">
        <v>2792</v>
      </c>
      <c r="H3784" s="309"/>
      <c r="I3784" s="346"/>
      <c r="J3784" s="291"/>
      <c r="K3784" s="291"/>
      <c r="L3784" s="291"/>
      <c r="M3784" s="291"/>
      <c r="S3784" s="364"/>
      <c r="Z3784" s="609" t="s">
        <v>3961</v>
      </c>
      <c r="AA3784" s="609" t="s">
        <v>5681</v>
      </c>
    </row>
    <row r="3785" spans="1:29" ht="26">
      <c r="A3785" s="2714"/>
      <c r="B3785" s="371">
        <v>105.999</v>
      </c>
      <c r="C3785" s="371" t="s">
        <v>6564</v>
      </c>
      <c r="D3785" s="2716">
        <f t="shared" si="423"/>
        <v>1</v>
      </c>
      <c r="E3785" s="2721">
        <v>1</v>
      </c>
      <c r="F3785" s="294"/>
      <c r="G3785" s="308" t="s">
        <v>5225</v>
      </c>
      <c r="H3785" s="1476">
        <f>SUMIF($E$3772:$E$3787,$G3785,H$3772:H$3787)</f>
        <v>0</v>
      </c>
      <c r="I3785" s="1477">
        <f>SUMIF($E$3772:$E$3787,$G3785,I$3772:I$3787)</f>
        <v>0</v>
      </c>
      <c r="J3785" s="291"/>
      <c r="K3785" s="291"/>
      <c r="L3785" s="291"/>
      <c r="M3785" s="291"/>
      <c r="S3785" s="364"/>
      <c r="Z3785" s="609" t="s">
        <v>3961</v>
      </c>
      <c r="AA3785" s="609" t="s">
        <v>5681</v>
      </c>
    </row>
    <row r="3786" spans="1:29" ht="17">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5681</v>
      </c>
    </row>
    <row r="3787" spans="1:29" ht="17">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5681</v>
      </c>
    </row>
    <row r="3788" spans="1:29" ht="1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5681</v>
      </c>
      <c r="AC3788" s="369" t="s">
        <v>6575</v>
      </c>
    </row>
    <row r="3789" spans="1:29" ht="17">
      <c r="A3789" s="2714"/>
      <c r="B3789" s="371"/>
      <c r="C3789" s="371" t="s">
        <v>2755</v>
      </c>
      <c r="D3789" s="371"/>
      <c r="F3789" s="294"/>
      <c r="G3789" s="301"/>
      <c r="H3789" s="315"/>
      <c r="I3789" s="315"/>
      <c r="J3789" s="291"/>
      <c r="K3789" s="291"/>
      <c r="L3789" s="291"/>
      <c r="M3789" s="291"/>
      <c r="S3789" s="364"/>
      <c r="Z3789" s="609" t="s">
        <v>3961</v>
      </c>
      <c r="AA3789" s="609" t="s">
        <v>5681</v>
      </c>
    </row>
    <row r="3790" spans="1:29" ht="26">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5681</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5681</v>
      </c>
    </row>
    <row r="3792" spans="1:29" ht="26">
      <c r="A3792" s="2714"/>
      <c r="B3792" s="371"/>
      <c r="C3792" s="371"/>
      <c r="D3792" s="371"/>
      <c r="E3792" s="586" t="s">
        <v>2749</v>
      </c>
      <c r="F3792" s="363"/>
      <c r="G3792" s="2362" t="s">
        <v>1545</v>
      </c>
      <c r="H3792" s="2368" t="s">
        <v>3968</v>
      </c>
      <c r="I3792" s="2373" t="s">
        <v>3130</v>
      </c>
      <c r="J3792" s="355" t="s">
        <v>5308</v>
      </c>
      <c r="K3792" s="291"/>
      <c r="L3792" s="291"/>
      <c r="M3792" s="291"/>
      <c r="S3792" s="364"/>
      <c r="Z3792" s="609" t="s">
        <v>3961</v>
      </c>
      <c r="AA3792" s="609" t="s">
        <v>5681</v>
      </c>
    </row>
    <row r="3793" spans="1:27" ht="17">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5681</v>
      </c>
    </row>
    <row r="3794" spans="1:27" ht="17">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5681</v>
      </c>
    </row>
    <row r="3795" spans="1:27" ht="17">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5681</v>
      </c>
    </row>
    <row r="3796" spans="1:27" ht="17">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5681</v>
      </c>
    </row>
    <row r="3797" spans="1:27" ht="17">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5681</v>
      </c>
    </row>
    <row r="3798" spans="1:27" ht="1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5681</v>
      </c>
    </row>
    <row r="3799" spans="1:27" ht="17">
      <c r="A3799" s="2714"/>
      <c r="B3799" s="371"/>
      <c r="C3799" s="371" t="s">
        <v>2755</v>
      </c>
      <c r="D3799" s="371"/>
      <c r="F3799" s="294"/>
      <c r="G3799" s="301"/>
      <c r="H3799" s="315"/>
      <c r="I3799" s="393"/>
      <c r="J3799" s="291"/>
      <c r="K3799" s="291"/>
      <c r="L3799" s="291"/>
      <c r="M3799" s="291"/>
      <c r="S3799" s="364"/>
      <c r="Z3799" s="609" t="s">
        <v>3961</v>
      </c>
      <c r="AA3799" s="609" t="s">
        <v>5681</v>
      </c>
    </row>
    <row r="3800" spans="1:27" ht="17">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5682</v>
      </c>
    </row>
    <row r="3801" spans="1:27" ht="17">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5682</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5682</v>
      </c>
    </row>
    <row r="3803" spans="1:27" ht="26">
      <c r="A3803" s="2714"/>
      <c r="B3803" s="371"/>
      <c r="C3803" s="371"/>
      <c r="D3803" s="371"/>
      <c r="E3803" s="2716" t="s">
        <v>2749</v>
      </c>
      <c r="F3803" s="294"/>
      <c r="G3803" s="1516" t="s">
        <v>5359</v>
      </c>
      <c r="H3803" s="1454" t="str">
        <f>$V$2</f>
        <v>2019年12月31日</v>
      </c>
      <c r="I3803" s="1455" t="str">
        <f>$V$3</f>
        <v>2018年12月31日</v>
      </c>
      <c r="J3803" s="355" t="s">
        <v>5308</v>
      </c>
      <c r="K3803" s="291"/>
      <c r="L3803" s="291"/>
      <c r="M3803" s="291"/>
      <c r="N3803" s="291"/>
      <c r="S3803" s="364"/>
      <c r="Z3803" s="609" t="s">
        <v>3969</v>
      </c>
      <c r="AA3803" s="609" t="s">
        <v>5682</v>
      </c>
    </row>
    <row r="3804" spans="1:27" ht="17">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5682</v>
      </c>
    </row>
    <row r="3805" spans="1:27" ht="26">
      <c r="A3805" s="2714"/>
      <c r="B3805" s="371">
        <v>102</v>
      </c>
      <c r="C3805" s="371"/>
      <c r="D3805" s="2716">
        <f t="shared" si="425"/>
        <v>1</v>
      </c>
      <c r="E3805" s="2721" t="s">
        <v>41</v>
      </c>
      <c r="F3805" s="294"/>
      <c r="G3805" s="308" t="s">
        <v>5228</v>
      </c>
      <c r="H3805" s="309"/>
      <c r="I3805" s="346"/>
      <c r="J3805" s="291"/>
      <c r="K3805" s="291"/>
      <c r="L3805" s="291"/>
      <c r="M3805" s="291"/>
      <c r="N3805" s="291"/>
      <c r="S3805" s="364"/>
      <c r="Z3805" s="609" t="s">
        <v>3969</v>
      </c>
      <c r="AA3805" s="609" t="s">
        <v>5682</v>
      </c>
    </row>
    <row r="3806" spans="1:27" ht="17">
      <c r="A3806" s="2714"/>
      <c r="B3806" s="371">
        <v>102.001</v>
      </c>
      <c r="C3806" s="371" t="s">
        <v>2791</v>
      </c>
      <c r="D3806" s="2716">
        <f t="shared" si="425"/>
        <v>1</v>
      </c>
      <c r="E3806" s="2721" t="s">
        <v>5230</v>
      </c>
      <c r="F3806" s="294"/>
      <c r="G3806" s="1489" t="s">
        <v>5229</v>
      </c>
      <c r="H3806" s="309"/>
      <c r="I3806" s="346"/>
      <c r="J3806" s="291"/>
      <c r="K3806" s="291"/>
      <c r="L3806" s="291"/>
      <c r="M3806" s="291"/>
      <c r="N3806" s="291"/>
      <c r="S3806" s="364"/>
      <c r="Z3806" s="609" t="s">
        <v>3969</v>
      </c>
      <c r="AA3806" s="609" t="s">
        <v>5682</v>
      </c>
    </row>
    <row r="3807" spans="1:27" ht="17">
      <c r="A3807" s="2714"/>
      <c r="B3807" s="371">
        <v>102.002</v>
      </c>
      <c r="C3807" s="371" t="s">
        <v>2791</v>
      </c>
      <c r="D3807" s="2716">
        <f t="shared" si="425"/>
        <v>0</v>
      </c>
      <c r="E3807" s="2721" t="s">
        <v>5230</v>
      </c>
      <c r="F3807" s="294"/>
      <c r="G3807" s="1489" t="s">
        <v>5227</v>
      </c>
      <c r="H3807" s="309"/>
      <c r="I3807" s="346"/>
      <c r="J3807" s="291"/>
      <c r="K3807" s="291"/>
      <c r="L3807" s="291"/>
      <c r="M3807" s="291"/>
      <c r="N3807" s="291"/>
      <c r="S3807" s="364"/>
      <c r="Z3807" s="609" t="s">
        <v>3969</v>
      </c>
      <c r="AA3807" s="609" t="s">
        <v>5682</v>
      </c>
    </row>
    <row r="3808" spans="1:27" ht="17">
      <c r="A3808" s="2714"/>
      <c r="B3808" s="371">
        <v>102.003</v>
      </c>
      <c r="C3808" s="371" t="s">
        <v>2791</v>
      </c>
      <c r="D3808" s="2716">
        <f t="shared" si="425"/>
        <v>0</v>
      </c>
      <c r="E3808" s="2721" t="s">
        <v>5230</v>
      </c>
      <c r="F3808" s="294"/>
      <c r="G3808" s="1489" t="s">
        <v>2792</v>
      </c>
      <c r="H3808" s="309"/>
      <c r="I3808" s="346"/>
      <c r="J3808" s="291"/>
      <c r="K3808" s="291"/>
      <c r="L3808" s="291"/>
      <c r="M3808" s="291"/>
      <c r="N3808" s="291"/>
      <c r="S3808" s="364"/>
      <c r="Z3808" s="609" t="s">
        <v>3969</v>
      </c>
      <c r="AA3808" s="609" t="s">
        <v>5682</v>
      </c>
    </row>
    <row r="3809" spans="1:29" ht="26">
      <c r="A3809" s="2714"/>
      <c r="B3809" s="371">
        <v>102.999</v>
      </c>
      <c r="C3809" s="371" t="s">
        <v>2793</v>
      </c>
      <c r="D3809" s="2716">
        <f t="shared" si="425"/>
        <v>1</v>
      </c>
      <c r="E3809" s="2721">
        <v>1</v>
      </c>
      <c r="F3809" s="294"/>
      <c r="G3809" s="308" t="s">
        <v>5231</v>
      </c>
      <c r="H3809" s="1476">
        <f>SUMIF($E$3803:$E$3815,$G3809,H$3803:H$3815)</f>
        <v>0</v>
      </c>
      <c r="I3809" s="1477">
        <f>SUMIF($E$3803:$E$3815,$G3809,I$3803:I$3815)</f>
        <v>0</v>
      </c>
      <c r="J3809" s="291"/>
      <c r="K3809" s="291"/>
      <c r="L3809" s="291"/>
      <c r="M3809" s="291"/>
      <c r="N3809" s="291"/>
      <c r="S3809" s="364"/>
      <c r="Z3809" s="609" t="s">
        <v>3969</v>
      </c>
      <c r="AA3809" s="609" t="s">
        <v>5682</v>
      </c>
    </row>
    <row r="3810" spans="1:29" ht="26">
      <c r="A3810" s="2714"/>
      <c r="B3810" s="371">
        <v>103</v>
      </c>
      <c r="C3810" s="371"/>
      <c r="D3810" s="2716">
        <f t="shared" si="425"/>
        <v>1</v>
      </c>
      <c r="E3810" s="2721" t="s">
        <v>41</v>
      </c>
      <c r="F3810" s="294"/>
      <c r="G3810" s="308" t="s">
        <v>5232</v>
      </c>
      <c r="H3810" s="309"/>
      <c r="I3810" s="346"/>
      <c r="J3810" s="291"/>
      <c r="K3810" s="291"/>
      <c r="L3810" s="291"/>
      <c r="M3810" s="291"/>
      <c r="N3810" s="291"/>
      <c r="S3810" s="364"/>
      <c r="Z3810" s="609" t="s">
        <v>3969</v>
      </c>
      <c r="AA3810" s="609" t="s">
        <v>5682</v>
      </c>
    </row>
    <row r="3811" spans="1:29" ht="17">
      <c r="A3811" s="2714"/>
      <c r="B3811" s="371">
        <v>103.001</v>
      </c>
      <c r="C3811" s="371" t="s">
        <v>2791</v>
      </c>
      <c r="D3811" s="2716">
        <f t="shared" si="425"/>
        <v>1</v>
      </c>
      <c r="E3811" s="2721" t="s">
        <v>5234</v>
      </c>
      <c r="F3811" s="294"/>
      <c r="G3811" s="1489" t="s">
        <v>5233</v>
      </c>
      <c r="H3811" s="309"/>
      <c r="I3811" s="346"/>
      <c r="J3811" s="291"/>
      <c r="K3811" s="291"/>
      <c r="L3811" s="291"/>
      <c r="M3811" s="291"/>
      <c r="N3811" s="291"/>
      <c r="S3811" s="364"/>
      <c r="Z3811" s="609" t="s">
        <v>3969</v>
      </c>
      <c r="AA3811" s="609" t="s">
        <v>5682</v>
      </c>
    </row>
    <row r="3812" spans="1:29" ht="17">
      <c r="A3812" s="2714"/>
      <c r="B3812" s="371">
        <v>103.002</v>
      </c>
      <c r="C3812" s="371" t="s">
        <v>2791</v>
      </c>
      <c r="D3812" s="2716">
        <f t="shared" si="425"/>
        <v>0</v>
      </c>
      <c r="E3812" s="2721" t="s">
        <v>5234</v>
      </c>
      <c r="F3812" s="294"/>
      <c r="G3812" s="1489" t="s">
        <v>5227</v>
      </c>
      <c r="H3812" s="309"/>
      <c r="I3812" s="346"/>
      <c r="J3812" s="291"/>
      <c r="K3812" s="291"/>
      <c r="L3812" s="291"/>
      <c r="M3812" s="291"/>
      <c r="N3812" s="291"/>
      <c r="S3812" s="364"/>
      <c r="Z3812" s="609" t="s">
        <v>3969</v>
      </c>
      <c r="AA3812" s="609" t="s">
        <v>5682</v>
      </c>
    </row>
    <row r="3813" spans="1:29" ht="17">
      <c r="A3813" s="2714"/>
      <c r="B3813" s="371">
        <v>103.003</v>
      </c>
      <c r="C3813" s="371" t="s">
        <v>6534</v>
      </c>
      <c r="D3813" s="2716">
        <f t="shared" si="425"/>
        <v>0</v>
      </c>
      <c r="E3813" s="2721" t="s">
        <v>5234</v>
      </c>
      <c r="F3813" s="294"/>
      <c r="G3813" s="1489" t="s">
        <v>2792</v>
      </c>
      <c r="H3813" s="309"/>
      <c r="I3813" s="346"/>
      <c r="J3813" s="291"/>
      <c r="K3813" s="291"/>
      <c r="L3813" s="291"/>
      <c r="M3813" s="291"/>
      <c r="N3813" s="291"/>
      <c r="S3813" s="364"/>
      <c r="Z3813" s="609" t="s">
        <v>3969</v>
      </c>
      <c r="AA3813" s="609" t="s">
        <v>5682</v>
      </c>
    </row>
    <row r="3814" spans="1:29" ht="26">
      <c r="A3814" s="2714"/>
      <c r="B3814" s="371">
        <v>103.999</v>
      </c>
      <c r="C3814" s="371" t="s">
        <v>2793</v>
      </c>
      <c r="D3814" s="2716">
        <f t="shared" si="425"/>
        <v>1</v>
      </c>
      <c r="E3814" s="2721">
        <v>1</v>
      </c>
      <c r="F3814" s="294"/>
      <c r="G3814" s="308" t="s">
        <v>5235</v>
      </c>
      <c r="H3814" s="1476">
        <f>SUMIF($E$3803:$E$3815,$G3814,H$3803:H$3815)</f>
        <v>0</v>
      </c>
      <c r="I3814" s="1477">
        <f>SUMIF($E$3803:$E$3815,$G3814,I$3803:I$3815)</f>
        <v>0</v>
      </c>
      <c r="J3814" s="291"/>
      <c r="K3814" s="291"/>
      <c r="L3814" s="291"/>
      <c r="M3814" s="291"/>
      <c r="N3814" s="291"/>
      <c r="S3814" s="364"/>
      <c r="Z3814" s="609" t="s">
        <v>3969</v>
      </c>
      <c r="AA3814" s="609" t="s">
        <v>5682</v>
      </c>
    </row>
    <row r="3815" spans="1:29" ht="17">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5682</v>
      </c>
    </row>
    <row r="3816" spans="1:29" ht="17.5" thickBot="1">
      <c r="A3816" s="2714"/>
      <c r="B3816" s="371"/>
      <c r="C3816" s="371"/>
      <c r="D3816" s="2716">
        <f t="shared" si="425"/>
        <v>1</v>
      </c>
      <c r="E3816" s="2721" t="s">
        <v>2751</v>
      </c>
      <c r="F3816" s="294"/>
      <c r="G3816" s="374" t="s">
        <v>5358</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5682</v>
      </c>
      <c r="AC3816" s="369" t="s">
        <v>6575</v>
      </c>
    </row>
    <row r="3817" spans="1:29" ht="17">
      <c r="A3817" s="2714"/>
      <c r="B3817" s="371"/>
      <c r="C3817" s="371" t="s">
        <v>2755</v>
      </c>
      <c r="D3817" s="371"/>
      <c r="F3817" s="294"/>
      <c r="G3817" s="301"/>
      <c r="H3817" s="315"/>
      <c r="I3817" s="315"/>
      <c r="J3817" s="350"/>
      <c r="K3817" s="291"/>
      <c r="L3817" s="291"/>
      <c r="M3817" s="291"/>
      <c r="N3817" s="291"/>
      <c r="S3817" s="364"/>
      <c r="Z3817" s="609" t="s">
        <v>3969</v>
      </c>
      <c r="AA3817" s="609" t="s">
        <v>5682</v>
      </c>
    </row>
    <row r="3818" spans="1:29" ht="26">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5682</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5682</v>
      </c>
    </row>
    <row r="3820" spans="1:29" ht="26">
      <c r="A3820" s="2714"/>
      <c r="B3820" s="371"/>
      <c r="C3820" s="371"/>
      <c r="D3820" s="371"/>
      <c r="E3820" s="2716" t="s">
        <v>2749</v>
      </c>
      <c r="F3820" s="294"/>
      <c r="G3820" s="378" t="s">
        <v>1465</v>
      </c>
      <c r="H3820" s="504" t="str">
        <f>$W$2&amp;"余额"</f>
        <v>2019年12月31日余额</v>
      </c>
      <c r="I3820" s="399" t="s">
        <v>3974</v>
      </c>
      <c r="J3820" s="355" t="s">
        <v>5308</v>
      </c>
      <c r="K3820" s="291"/>
      <c r="L3820" s="291"/>
      <c r="M3820" s="291"/>
      <c r="N3820" s="291"/>
      <c r="S3820" s="364"/>
      <c r="Z3820" s="609" t="s">
        <v>3969</v>
      </c>
      <c r="AA3820" s="609" t="s">
        <v>5682</v>
      </c>
    </row>
    <row r="3821" spans="1:29" ht="17">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5682</v>
      </c>
    </row>
    <row r="3822" spans="1:29" ht="17">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5682</v>
      </c>
    </row>
    <row r="3823" spans="1:29" ht="17">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5682</v>
      </c>
    </row>
    <row r="3824" spans="1:29" ht="17">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5682</v>
      </c>
    </row>
    <row r="3825" spans="1:29" ht="17">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5682</v>
      </c>
    </row>
    <row r="3826" spans="1:29" ht="1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5682</v>
      </c>
    </row>
    <row r="3827" spans="1:29" ht="17">
      <c r="A3827" s="2714"/>
      <c r="B3827" s="371"/>
      <c r="C3827" s="371" t="s">
        <v>2755</v>
      </c>
      <c r="D3827" s="371"/>
      <c r="F3827" s="294"/>
      <c r="G3827" s="301"/>
      <c r="H3827" s="349"/>
      <c r="I3827" s="350"/>
      <c r="J3827" s="350"/>
      <c r="K3827" s="291"/>
      <c r="L3827" s="291"/>
      <c r="M3827" s="291"/>
      <c r="N3827" s="291"/>
      <c r="S3827" s="364"/>
      <c r="Z3827" s="609" t="s">
        <v>3969</v>
      </c>
      <c r="AA3827" s="609" t="s">
        <v>5682</v>
      </c>
    </row>
    <row r="3828" spans="1:29" ht="17">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20000</v>
      </c>
      <c r="L3828" s="342"/>
      <c r="M3828" s="306" t="s">
        <v>2741</v>
      </c>
      <c r="N3828" s="341">
        <f>VLOOKUP($A3828,Sheet_Trialbal,10,0)</f>
        <v>20000</v>
      </c>
      <c r="O3828" s="306"/>
      <c r="P3828" s="301"/>
      <c r="S3828" s="364"/>
      <c r="Z3828" s="609" t="s">
        <v>3975</v>
      </c>
      <c r="AA3828" s="609" t="s">
        <v>5683</v>
      </c>
    </row>
    <row r="3829" spans="1:29" ht="26">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20000</v>
      </c>
      <c r="L3829" s="345" t="str">
        <f>IF($I3829="适用",IF(ROUND(K$3828-K3829,2)=0,"F/S",ROUND(K$3828-K3829,2)),"#N/A")</f>
        <v>F/S</v>
      </c>
      <c r="M3829" s="301" t="s">
        <v>2745</v>
      </c>
      <c r="N3829" s="2210">
        <f>I3837</f>
        <v>20000</v>
      </c>
      <c r="O3829" s="345" t="str">
        <f>IF($I3829="适用",IF(ROUND(N$3828-N3829,2)=0,"F/S",ROUND(N$3828-N3829,2)),"#N/A")</f>
        <v>F/S</v>
      </c>
      <c r="P3829" s="301"/>
      <c r="Q3829" s="290" t="str">
        <f>IF($I3829="不适用","",IF(ROUND(SUM($H$3832:$I$3837),2)=0,"请输入",""))</f>
        <v/>
      </c>
      <c r="S3829" s="364"/>
      <c r="Z3829" s="609" t="s">
        <v>3975</v>
      </c>
      <c r="AA3829" s="609" t="s">
        <v>5683</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5683</v>
      </c>
    </row>
    <row r="3831" spans="1:29" ht="26">
      <c r="A3831" s="2714"/>
      <c r="B3831" s="371"/>
      <c r="C3831" s="371"/>
      <c r="D3831" s="371"/>
      <c r="E3831" s="586" t="s">
        <v>2749</v>
      </c>
      <c r="F3831" s="363"/>
      <c r="G3831" s="2362" t="s">
        <v>47</v>
      </c>
      <c r="H3831" s="2225" t="str">
        <f>$V$2</f>
        <v>2019年12月31日</v>
      </c>
      <c r="I3831" s="2226" t="str">
        <f>$V$3</f>
        <v>2018年12月31日</v>
      </c>
      <c r="J3831" s="355" t="s">
        <v>5308</v>
      </c>
      <c r="K3831" s="291"/>
      <c r="L3831" s="291"/>
      <c r="M3831" s="291"/>
      <c r="S3831" s="364"/>
      <c r="Z3831" s="609" t="s">
        <v>3975</v>
      </c>
      <c r="AA3831" s="609" t="s">
        <v>5683</v>
      </c>
    </row>
    <row r="3832" spans="1:29" ht="17">
      <c r="A3832" s="2714"/>
      <c r="B3832" s="371">
        <v>101</v>
      </c>
      <c r="C3832" s="371" t="s">
        <v>2791</v>
      </c>
      <c r="D3832" s="2716">
        <f t="shared" ref="D3832:D3837" si="427">IF(OR(G3832="*",G3832="",G3832=0),0,COUNTIF($G$3832:$G$3837,G3832))</f>
        <v>1</v>
      </c>
      <c r="E3832" s="2721">
        <v>1</v>
      </c>
      <c r="F3832" s="294"/>
      <c r="G3832" s="2375" t="s">
        <v>6816</v>
      </c>
      <c r="H3832" s="2275">
        <v>20000</v>
      </c>
      <c r="I3832" s="2296">
        <v>20000</v>
      </c>
      <c r="J3832" s="291"/>
      <c r="K3832" s="291"/>
      <c r="L3832" s="291"/>
      <c r="M3832" s="291"/>
      <c r="S3832" s="364"/>
      <c r="Z3832" s="609" t="s">
        <v>3975</v>
      </c>
      <c r="AA3832" s="609" t="s">
        <v>5683</v>
      </c>
    </row>
    <row r="3833" spans="1:29" ht="17">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5683</v>
      </c>
    </row>
    <row r="3834" spans="1:29" ht="17">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5683</v>
      </c>
    </row>
    <row r="3835" spans="1:29" ht="17">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5683</v>
      </c>
    </row>
    <row r="3836" spans="1:29" ht="17">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5683</v>
      </c>
    </row>
    <row r="3837" spans="1:29" ht="17.5" thickBot="1">
      <c r="A3837" s="2714"/>
      <c r="B3837" s="371"/>
      <c r="C3837" s="371"/>
      <c r="D3837" s="2716">
        <f t="shared" si="427"/>
        <v>1</v>
      </c>
      <c r="E3837" s="2721" t="s">
        <v>2751</v>
      </c>
      <c r="F3837" s="294"/>
      <c r="G3837" s="374" t="s">
        <v>2752</v>
      </c>
      <c r="H3837" s="1478">
        <f>SUMPRODUCT($E3831:$E3836,H3831:H3836)</f>
        <v>20000</v>
      </c>
      <c r="I3837" s="1479">
        <f>SUMPRODUCT($E3831:$E3836,I3831:I3836)</f>
        <v>20000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5683</v>
      </c>
      <c r="AC3837" s="369" t="s">
        <v>6575</v>
      </c>
    </row>
    <row r="3838" spans="1:29" ht="17">
      <c r="A3838" s="2714"/>
      <c r="B3838" s="371"/>
      <c r="C3838" s="371" t="s">
        <v>2755</v>
      </c>
      <c r="D3838" s="371"/>
      <c r="F3838" s="294"/>
      <c r="G3838" s="301"/>
      <c r="H3838" s="315"/>
      <c r="I3838" s="315"/>
      <c r="J3838" s="291"/>
      <c r="K3838" s="291"/>
      <c r="L3838" s="291"/>
      <c r="M3838" s="291"/>
      <c r="S3838" s="364"/>
      <c r="Z3838" s="609" t="s">
        <v>3975</v>
      </c>
      <c r="AA3838" s="609" t="s">
        <v>5683</v>
      </c>
    </row>
    <row r="3839" spans="1:29" ht="17">
      <c r="A3839" s="2714" t="s">
        <v>1569</v>
      </c>
      <c r="B3839" s="371">
        <v>2</v>
      </c>
      <c r="C3839" s="371"/>
      <c r="D3839" s="2716" t="str">
        <f>VLOOKUP($A3839,Sheet_NoteList,2,0)</f>
        <v>其他应付款按账龄列示</v>
      </c>
      <c r="E3839" s="2716" t="s">
        <v>6533</v>
      </c>
      <c r="F3839" s="294"/>
      <c r="G3839" s="372" t="str">
        <f>"("&amp;B3839&amp;")"&amp;D3839</f>
        <v>(2)其他应付款按账龄列示</v>
      </c>
      <c r="H3839" s="1517" t="str">
        <f>$A3839</f>
        <v>2241f</v>
      </c>
      <c r="I3839" s="343" t="s">
        <v>5570</v>
      </c>
      <c r="J3839" s="301" t="s">
        <v>5568</v>
      </c>
      <c r="K3839" s="2210">
        <f>H3847</f>
        <v>20000</v>
      </c>
      <c r="L3839" s="345" t="str">
        <f>IF($I3839="适用",IF(ROUND(K$3828-K3839,2)=0,"F/S",ROUND(K$3828-K3839,2)),"#N/A")</f>
        <v>F/S</v>
      </c>
      <c r="M3839" s="301" t="s">
        <v>5569</v>
      </c>
      <c r="N3839" s="2210">
        <f>I3847</f>
        <v>20000</v>
      </c>
      <c r="O3839" s="345" t="str">
        <f>IF($I3839="适用",IF(ROUND(N$3828-N3839,2)=0,"F/S",ROUND(N$3828-N3839,2)),"#N/A")</f>
        <v>F/S</v>
      </c>
      <c r="P3839" s="301"/>
      <c r="S3839" s="364"/>
      <c r="Z3839" s="609" t="s">
        <v>3975</v>
      </c>
      <c r="AA3839" s="609" t="s">
        <v>5683</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5683</v>
      </c>
    </row>
    <row r="3841" spans="1:27" ht="17">
      <c r="A3841" s="2714"/>
      <c r="B3841" s="371"/>
      <c r="C3841" s="371"/>
      <c r="D3841" s="371"/>
      <c r="E3841" s="2716" t="s">
        <v>2749</v>
      </c>
      <c r="F3841" s="294"/>
      <c r="G3841" s="1615" t="s">
        <v>1439</v>
      </c>
      <c r="H3841" s="1613" t="s">
        <v>2775</v>
      </c>
      <c r="I3841" s="1614" t="s">
        <v>2776</v>
      </c>
      <c r="J3841" s="355" t="s">
        <v>6177</v>
      </c>
      <c r="K3841" s="291"/>
      <c r="L3841" s="291"/>
      <c r="M3841" s="291"/>
      <c r="S3841" s="364"/>
      <c r="Z3841" s="609" t="s">
        <v>3975</v>
      </c>
      <c r="AA3841" s="609" t="s">
        <v>5683</v>
      </c>
    </row>
    <row r="3842" spans="1:27" ht="17">
      <c r="A3842" s="2714"/>
      <c r="B3842" s="371">
        <v>101</v>
      </c>
      <c r="C3842" s="371" t="s">
        <v>2791</v>
      </c>
      <c r="D3842" s="2716">
        <f t="shared" ref="D3842:D3847" si="428">IF(OR(G3842="*",G3842="",G3842=0),0,COUNTIF($G$3842:$G$3847,G3842))</f>
        <v>1</v>
      </c>
      <c r="E3842" s="2721">
        <v>1</v>
      </c>
      <c r="F3842" s="294"/>
      <c r="G3842" s="1616" t="s">
        <v>3855</v>
      </c>
      <c r="H3842" s="309"/>
      <c r="I3842" s="346">
        <v>20000</v>
      </c>
      <c r="J3842" s="579"/>
      <c r="K3842" s="291"/>
      <c r="L3842" s="291"/>
      <c r="M3842" s="291"/>
      <c r="S3842" s="364"/>
      <c r="Z3842" s="609" t="s">
        <v>3975</v>
      </c>
      <c r="AA3842" s="609" t="s">
        <v>5683</v>
      </c>
    </row>
    <row r="3843" spans="1:27" ht="17">
      <c r="A3843" s="2714"/>
      <c r="B3843" s="371">
        <v>102</v>
      </c>
      <c r="C3843" s="371" t="s">
        <v>2791</v>
      </c>
      <c r="D3843" s="2716">
        <f t="shared" si="428"/>
        <v>1</v>
      </c>
      <c r="E3843" s="2721">
        <v>1</v>
      </c>
      <c r="F3843" s="294"/>
      <c r="G3843" s="1616" t="s">
        <v>3856</v>
      </c>
      <c r="H3843" s="309">
        <v>20000</v>
      </c>
      <c r="I3843" s="346"/>
      <c r="J3843" s="291"/>
      <c r="K3843" s="291"/>
      <c r="L3843" s="291"/>
      <c r="M3843" s="291"/>
      <c r="S3843" s="364"/>
      <c r="Z3843" s="609" t="s">
        <v>3975</v>
      </c>
      <c r="AA3843" s="609" t="s">
        <v>5683</v>
      </c>
    </row>
    <row r="3844" spans="1:27" ht="17">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5683</v>
      </c>
    </row>
    <row r="3845" spans="1:27" ht="17">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5683</v>
      </c>
    </row>
    <row r="3846" spans="1:27" ht="17">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5683</v>
      </c>
    </row>
    <row r="3847" spans="1:27" ht="17.5" thickBot="1">
      <c r="A3847" s="2714"/>
      <c r="B3847" s="371"/>
      <c r="C3847" s="371"/>
      <c r="D3847" s="2716">
        <f t="shared" si="428"/>
        <v>1</v>
      </c>
      <c r="E3847" s="2721" t="s">
        <v>2751</v>
      </c>
      <c r="F3847" s="294"/>
      <c r="G3847" s="1529" t="s">
        <v>2752</v>
      </c>
      <c r="H3847" s="1527">
        <f>SUMPRODUCT($E3841:$E3846,H3841:H3846)</f>
        <v>20000</v>
      </c>
      <c r="I3847" s="1528">
        <f>SUMPRODUCT($E3841:$E3846,I3841:I3846)</f>
        <v>20000</v>
      </c>
      <c r="J3847" s="291"/>
      <c r="K3847" s="291"/>
      <c r="L3847" s="291"/>
      <c r="M3847" s="291"/>
      <c r="S3847" s="364"/>
      <c r="Z3847" s="609" t="s">
        <v>3975</v>
      </c>
      <c r="AA3847" s="609" t="s">
        <v>5683</v>
      </c>
    </row>
    <row r="3848" spans="1:27" ht="1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5683</v>
      </c>
    </row>
    <row r="3849" spans="1:27" ht="17.5" thickTop="1">
      <c r="A3849" s="2714"/>
      <c r="B3849" s="371"/>
      <c r="C3849" s="371" t="s">
        <v>2565</v>
      </c>
      <c r="D3849" s="371"/>
      <c r="F3849" s="294"/>
      <c r="G3849" s="1561" t="s">
        <v>5368</v>
      </c>
      <c r="H3849" s="1550" t="str">
        <f>G3829</f>
        <v>(1)按款项性质列示其他应付款</v>
      </c>
      <c r="I3849" s="1552"/>
      <c r="J3849" s="1553" t="s">
        <v>5369</v>
      </c>
      <c r="K3849" s="291"/>
      <c r="L3849" s="291"/>
      <c r="M3849" s="291"/>
      <c r="S3849" s="364"/>
      <c r="Z3849" s="609" t="s">
        <v>3975</v>
      </c>
      <c r="AA3849" s="609" t="s">
        <v>5683</v>
      </c>
    </row>
    <row r="3850" spans="1:27" ht="17">
      <c r="A3850" s="2714"/>
      <c r="B3850" s="371"/>
      <c r="C3850" s="371" t="s">
        <v>2565</v>
      </c>
      <c r="D3850" s="371"/>
      <c r="F3850" s="294"/>
      <c r="G3850" s="316" t="str">
        <f>"注释A:"&amp; G3837</f>
        <v>注释A:合       计</v>
      </c>
      <c r="H3850" s="2252">
        <f ca="1">HYPERLINK("#'"&amp;$G$1&amp;"'!"&amp;ADDRESS(ROW(Notes!H3837),COLUMN(Notes!H3837),4),H3837)</f>
        <v>20000</v>
      </c>
      <c r="I3850" s="2252">
        <f ca="1">HYPERLINK("#'"&amp;$G$1&amp;"'!"&amp;ADDRESS(ROW(Notes!I3837),COLUMN(Notes!I3837),4),I3837)</f>
        <v>20000</v>
      </c>
      <c r="J3850" s="2632" t="str">
        <f>H3829</f>
        <v>2241e</v>
      </c>
      <c r="K3850" s="291"/>
      <c r="L3850" s="291"/>
      <c r="M3850" s="291"/>
      <c r="S3850" s="364"/>
      <c r="Z3850" s="609" t="s">
        <v>3975</v>
      </c>
      <c r="AA3850" s="609" t="s">
        <v>5683</v>
      </c>
    </row>
    <row r="3851" spans="1:27" ht="17">
      <c r="A3851" s="2714"/>
      <c r="B3851" s="371"/>
      <c r="C3851" s="371" t="s">
        <v>2565</v>
      </c>
      <c r="D3851" s="371"/>
      <c r="F3851" s="294"/>
      <c r="G3851" s="316" t="str">
        <f>"本注释B:"&amp; G3847</f>
        <v>本注释B:合       计</v>
      </c>
      <c r="H3851" s="456">
        <f>H3837</f>
        <v>20000</v>
      </c>
      <c r="I3851" s="456">
        <f>I3837</f>
        <v>20000</v>
      </c>
      <c r="J3851" s="2638" t="s">
        <v>1569</v>
      </c>
      <c r="K3851" s="291"/>
      <c r="L3851" s="291"/>
      <c r="M3851" s="291"/>
      <c r="S3851" s="364"/>
      <c r="Z3851" s="609" t="s">
        <v>3975</v>
      </c>
      <c r="AA3851" s="609" t="s">
        <v>5683</v>
      </c>
    </row>
    <row r="3852" spans="1:27" ht="1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5683</v>
      </c>
    </row>
    <row r="3853" spans="1:27" ht="1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5683</v>
      </c>
    </row>
    <row r="3854" spans="1:27" ht="17">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5683</v>
      </c>
    </row>
    <row r="3855" spans="1:27" ht="17">
      <c r="A3855" s="2714"/>
      <c r="B3855" s="371"/>
      <c r="C3855" s="371" t="s">
        <v>2565</v>
      </c>
      <c r="D3855" s="371"/>
      <c r="F3855" s="294"/>
      <c r="G3855" s="354"/>
      <c r="H3855" s="461"/>
      <c r="I3855" s="461"/>
      <c r="J3855" s="354"/>
      <c r="K3855" s="291"/>
      <c r="L3855" s="291"/>
      <c r="M3855" s="291"/>
      <c r="S3855" s="364"/>
      <c r="Z3855" s="609" t="s">
        <v>3975</v>
      </c>
      <c r="AA3855" s="609" t="s">
        <v>5683</v>
      </c>
    </row>
    <row r="3856" spans="1:27" ht="26">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4"/>
      <c r="O3856" s="315"/>
      <c r="P3856" s="301"/>
      <c r="Q3856" s="290" t="str">
        <f>IF($I3856="不适用","",IF(ROUND(SUM($H$3859:$I$3864),2)=0,"请输入",""))</f>
        <v>请输入</v>
      </c>
      <c r="S3856" s="364"/>
      <c r="Z3856" s="609" t="s">
        <v>3975</v>
      </c>
      <c r="AA3856" s="609" t="s">
        <v>5683</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5683</v>
      </c>
    </row>
    <row r="3858" spans="1:27" ht="26">
      <c r="A3858" s="2714"/>
      <c r="B3858" s="371"/>
      <c r="C3858" s="371"/>
      <c r="D3858" s="371"/>
      <c r="E3858" s="586" t="s">
        <v>2749</v>
      </c>
      <c r="F3858" s="363"/>
      <c r="G3858" s="2362" t="s">
        <v>47</v>
      </c>
      <c r="H3858" s="2225" t="str">
        <f>$W$2&amp;"余额"</f>
        <v>2019年12月31日余额</v>
      </c>
      <c r="I3858" s="2373" t="s">
        <v>5252</v>
      </c>
      <c r="J3858" s="355" t="s">
        <v>5308</v>
      </c>
      <c r="K3858" s="291"/>
      <c r="L3858" s="291"/>
      <c r="M3858" s="291"/>
      <c r="N3858" s="291"/>
      <c r="S3858" s="364"/>
      <c r="Z3858" s="609" t="s">
        <v>3975</v>
      </c>
      <c r="AA3858" s="609" t="s">
        <v>5683</v>
      </c>
    </row>
    <row r="3859" spans="1:27" ht="17">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5683</v>
      </c>
    </row>
    <row r="3860" spans="1:27" ht="17">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5683</v>
      </c>
    </row>
    <row r="3861" spans="1:27" ht="17">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5683</v>
      </c>
    </row>
    <row r="3862" spans="1:27" ht="17">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5683</v>
      </c>
    </row>
    <row r="3863" spans="1:27" ht="17">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5683</v>
      </c>
    </row>
    <row r="3864" spans="1:27" ht="1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5683</v>
      </c>
    </row>
    <row r="3865" spans="1:27" ht="17">
      <c r="A3865" s="2714"/>
      <c r="B3865" s="371"/>
      <c r="C3865" s="371" t="s">
        <v>2755</v>
      </c>
      <c r="D3865" s="371"/>
      <c r="F3865" s="294"/>
      <c r="G3865" s="301"/>
      <c r="H3865" s="315"/>
      <c r="I3865" s="393"/>
      <c r="J3865" s="350"/>
      <c r="K3865" s="291"/>
      <c r="L3865" s="291"/>
      <c r="M3865" s="291"/>
      <c r="N3865" s="291"/>
      <c r="S3865" s="364"/>
      <c r="Z3865" s="609" t="s">
        <v>3975</v>
      </c>
      <c r="AA3865" s="609" t="s">
        <v>5683</v>
      </c>
    </row>
    <row r="3866" spans="1:27" ht="26">
      <c r="A3866" s="2714" t="s">
        <v>1579</v>
      </c>
      <c r="B3866" s="371">
        <v>4</v>
      </c>
      <c r="C3866" s="371"/>
      <c r="D3866" s="2716" t="str">
        <f>VLOOKUP($A3866,Sheet_NoteList,2,0)</f>
        <v>单项金额较大的其他应付款</v>
      </c>
      <c r="E3866" s="2716" t="s">
        <v>6533</v>
      </c>
      <c r="F3866" s="294"/>
      <c r="G3866" s="372" t="str">
        <f>"("&amp;B3866&amp;")"&amp;D3866</f>
        <v>(4)单项金额较大的其他应付款</v>
      </c>
      <c r="H3866" s="1517" t="str">
        <f>$A3866</f>
        <v>2241b</v>
      </c>
      <c r="I3866" s="343" t="s">
        <v>5975</v>
      </c>
      <c r="J3866" s="301" t="s">
        <v>5974</v>
      </c>
      <c r="K3866" s="2210">
        <f>H3874</f>
        <v>0</v>
      </c>
      <c r="L3866" s="345" t="str">
        <f>IF($I3866="适用",IF(ROUND(K$3828-K3866,2)&gt;=0,"","#Logical!"),"#N/A")</f>
        <v/>
      </c>
      <c r="M3866" s="301"/>
      <c r="N3866" s="3084"/>
      <c r="O3866" s="315"/>
      <c r="P3866" s="301"/>
      <c r="S3866" s="364"/>
      <c r="Z3866" s="609" t="s">
        <v>3975</v>
      </c>
      <c r="AA3866" s="609" t="s">
        <v>5683</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5683</v>
      </c>
    </row>
    <row r="3868" spans="1:27" ht="26">
      <c r="A3868" s="2714"/>
      <c r="B3868" s="371"/>
      <c r="C3868" s="371"/>
      <c r="D3868" s="371"/>
      <c r="E3868" s="586" t="s">
        <v>2749</v>
      </c>
      <c r="F3868" s="363"/>
      <c r="G3868" s="2363" t="s">
        <v>3865</v>
      </c>
      <c r="H3868" s="2364" t="s">
        <v>3866</v>
      </c>
      <c r="I3868" s="2364" t="s">
        <v>2961</v>
      </c>
      <c r="J3868" s="2365" t="s">
        <v>3867</v>
      </c>
      <c r="K3868" s="355" t="s">
        <v>6142</v>
      </c>
      <c r="L3868" s="291"/>
      <c r="M3868" s="291"/>
      <c r="N3868" s="291"/>
      <c r="S3868" s="364"/>
      <c r="Z3868" s="609" t="s">
        <v>3975</v>
      </c>
      <c r="AA3868" s="609" t="s">
        <v>5683</v>
      </c>
    </row>
    <row r="3869" spans="1:27" ht="17">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5683</v>
      </c>
    </row>
    <row r="3870" spans="1:27" ht="17">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5683</v>
      </c>
    </row>
    <row r="3871" spans="1:27" ht="17">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5683</v>
      </c>
    </row>
    <row r="3872" spans="1:27" ht="17">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5683</v>
      </c>
    </row>
    <row r="3873" spans="1:27" ht="17">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5683</v>
      </c>
    </row>
    <row r="3874" spans="1:27" ht="1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5683</v>
      </c>
    </row>
    <row r="3875" spans="1:27" ht="17">
      <c r="A3875" s="2714"/>
      <c r="B3875" s="371"/>
      <c r="C3875" s="371" t="s">
        <v>2755</v>
      </c>
      <c r="D3875" s="371"/>
      <c r="F3875" s="294"/>
      <c r="G3875" s="301"/>
      <c r="H3875" s="315"/>
      <c r="I3875" s="393"/>
      <c r="J3875" s="393"/>
      <c r="K3875" s="291"/>
      <c r="L3875" s="291"/>
      <c r="M3875" s="291"/>
      <c r="N3875" s="291"/>
      <c r="S3875" s="364"/>
      <c r="Z3875" s="609" t="s">
        <v>3975</v>
      </c>
      <c r="AA3875" s="609" t="s">
        <v>5683</v>
      </c>
    </row>
    <row r="3876" spans="1:27" ht="17">
      <c r="A3876" s="2714" t="s">
        <v>1584</v>
      </c>
      <c r="B3876" s="371">
        <v>5</v>
      </c>
      <c r="C3876" s="371"/>
      <c r="D3876" s="2716" t="str">
        <f>VLOOKUP($A3876,Sheet_NoteList,2,0)</f>
        <v>外币其他应付款</v>
      </c>
      <c r="E3876" s="2716" t="s">
        <v>6533</v>
      </c>
      <c r="F3876" s="294"/>
      <c r="G3876" s="307" t="str">
        <f>"("&amp;B3876&amp;")"&amp;D3876</f>
        <v>(5)外币其他应付款</v>
      </c>
      <c r="H3876" s="1517" t="str">
        <f>$A3876</f>
        <v>2241g</v>
      </c>
      <c r="I3876" s="343" t="s">
        <v>5579</v>
      </c>
      <c r="J3876" s="301" t="s">
        <v>5580</v>
      </c>
      <c r="K3876" s="2210">
        <f>J3884</f>
        <v>0</v>
      </c>
      <c r="L3876" s="345"/>
      <c r="M3876" s="301"/>
      <c r="N3876" s="391"/>
      <c r="O3876" s="345"/>
      <c r="P3876" s="301"/>
      <c r="Q3876" s="290" t="str">
        <f>IF($I3876="不适用","",IF(ROUND(SUM($H$3879:$J$3884),2)=0,"请输入",""))</f>
        <v>请输入</v>
      </c>
      <c r="S3876" s="364"/>
      <c r="Z3876" s="609" t="s">
        <v>3975</v>
      </c>
      <c r="AA3876" s="609" t="s">
        <v>5683</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5683</v>
      </c>
    </row>
    <row r="3878" spans="1:27" ht="26">
      <c r="A3878" s="2714"/>
      <c r="B3878" s="371"/>
      <c r="C3878" s="371"/>
      <c r="D3878" s="371"/>
      <c r="E3878" s="2716" t="s">
        <v>2749</v>
      </c>
      <c r="F3878" s="294"/>
      <c r="G3878" s="1630" t="s">
        <v>1371</v>
      </c>
      <c r="H3878" s="1622" t="s">
        <v>3076</v>
      </c>
      <c r="I3878" s="1622" t="s">
        <v>3077</v>
      </c>
      <c r="J3878" s="1623" t="s">
        <v>3078</v>
      </c>
      <c r="K3878" s="355" t="s">
        <v>5605</v>
      </c>
      <c r="L3878" s="291"/>
      <c r="S3878" s="364"/>
      <c r="Z3878" s="609" t="s">
        <v>3975</v>
      </c>
      <c r="AA3878" s="609" t="s">
        <v>5683</v>
      </c>
    </row>
    <row r="3879" spans="1:27" ht="17">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5365</v>
      </c>
      <c r="L3879" s="1522" t="s">
        <v>5366</v>
      </c>
      <c r="S3879" s="364"/>
      <c r="Z3879" s="609" t="s">
        <v>3975</v>
      </c>
      <c r="AA3879" s="609" t="s">
        <v>5683</v>
      </c>
    </row>
    <row r="3880" spans="1:27" ht="17">
      <c r="A3880" s="2714"/>
      <c r="B3880" s="371">
        <v>102</v>
      </c>
      <c r="C3880" s="371" t="s">
        <v>2791</v>
      </c>
      <c r="D3880" s="2716">
        <f t="shared" si="431"/>
        <v>1</v>
      </c>
      <c r="E3880" s="2721">
        <v>1</v>
      </c>
      <c r="F3880" s="294"/>
      <c r="G3880" s="1625" t="s">
        <v>3080</v>
      </c>
      <c r="H3880" s="309"/>
      <c r="I3880" s="360"/>
      <c r="J3880" s="346"/>
      <c r="S3880" s="364"/>
      <c r="Z3880" s="609" t="s">
        <v>3975</v>
      </c>
      <c r="AA3880" s="609" t="s">
        <v>5683</v>
      </c>
    </row>
    <row r="3881" spans="1:27" ht="17">
      <c r="A3881" s="2714"/>
      <c r="B3881" s="371">
        <v>103</v>
      </c>
      <c r="C3881" s="371" t="s">
        <v>2791</v>
      </c>
      <c r="D3881" s="2716">
        <f t="shared" si="431"/>
        <v>1</v>
      </c>
      <c r="E3881" s="2721">
        <v>1</v>
      </c>
      <c r="F3881" s="294"/>
      <c r="G3881" s="1625" t="s">
        <v>3081</v>
      </c>
      <c r="H3881" s="309"/>
      <c r="I3881" s="360"/>
      <c r="J3881" s="346"/>
      <c r="S3881" s="364"/>
      <c r="Z3881" s="609" t="s">
        <v>3975</v>
      </c>
      <c r="AA3881" s="609" t="s">
        <v>5683</v>
      </c>
    </row>
    <row r="3882" spans="1:27" ht="17">
      <c r="A3882" s="2714"/>
      <c r="B3882" s="371">
        <v>104</v>
      </c>
      <c r="C3882" s="371" t="s">
        <v>2791</v>
      </c>
      <c r="D3882" s="2716">
        <f t="shared" si="431"/>
        <v>0</v>
      </c>
      <c r="E3882" s="2721">
        <v>1</v>
      </c>
      <c r="F3882" s="294"/>
      <c r="G3882" s="1625" t="s">
        <v>2792</v>
      </c>
      <c r="H3882" s="309"/>
      <c r="I3882" s="360"/>
      <c r="J3882" s="346"/>
      <c r="S3882" s="364"/>
      <c r="Z3882" s="609" t="s">
        <v>3975</v>
      </c>
      <c r="AA3882" s="609" t="s">
        <v>5683</v>
      </c>
    </row>
    <row r="3883" spans="1:27" ht="17">
      <c r="A3883" s="2714"/>
      <c r="B3883" s="371">
        <v>105</v>
      </c>
      <c r="C3883" s="371" t="s">
        <v>2791</v>
      </c>
      <c r="D3883" s="2716">
        <f t="shared" si="431"/>
        <v>0</v>
      </c>
      <c r="E3883" s="2721">
        <v>1</v>
      </c>
      <c r="F3883" s="294"/>
      <c r="G3883" s="1625" t="s">
        <v>2792</v>
      </c>
      <c r="H3883" s="309"/>
      <c r="I3883" s="360"/>
      <c r="J3883" s="346"/>
      <c r="S3883" s="364"/>
      <c r="Z3883" s="609" t="s">
        <v>3975</v>
      </c>
      <c r="AA3883" s="609" t="s">
        <v>5683</v>
      </c>
    </row>
    <row r="3884" spans="1:27" ht="1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5683</v>
      </c>
    </row>
    <row r="3885" spans="1:27" ht="17">
      <c r="A3885" s="2714"/>
      <c r="B3885" s="371"/>
      <c r="C3885" s="371" t="s">
        <v>2755</v>
      </c>
      <c r="D3885" s="371"/>
      <c r="F3885" s="294"/>
      <c r="G3885" s="301"/>
      <c r="H3885" s="315"/>
      <c r="I3885" s="393"/>
      <c r="J3885" s="315"/>
      <c r="S3885" s="364"/>
      <c r="Z3885" s="609" t="s">
        <v>3975</v>
      </c>
      <c r="AA3885" s="609" t="s">
        <v>5683</v>
      </c>
    </row>
    <row r="3886" spans="1:27" ht="26">
      <c r="A3886" s="2714" t="s">
        <v>1574</v>
      </c>
      <c r="B3886" s="371">
        <v>6</v>
      </c>
      <c r="C3886" s="371"/>
      <c r="D3886" s="2716" t="str">
        <f>VLOOKUP($A3886,Sheet_NoteList,2,0)</f>
        <v>关联方应收应付款项——其他应付款</v>
      </c>
      <c r="E3886" s="2716" t="s">
        <v>6533</v>
      </c>
      <c r="F3886" s="294"/>
      <c r="G3886" s="372" t="str">
        <f>"("&amp;B3886&amp;")"&amp;D3886</f>
        <v>(6)关联方应收应付款项——其他应付款</v>
      </c>
      <c r="H3886" s="1517" t="str">
        <f>$A3886</f>
        <v>2241a</v>
      </c>
      <c r="I3886" s="343" t="s">
        <v>5615</v>
      </c>
      <c r="J3886" s="301"/>
      <c r="K3886" s="3084"/>
      <c r="L3886" s="315"/>
      <c r="M3886" s="301"/>
      <c r="N3886" s="3084"/>
      <c r="O3886" s="315"/>
      <c r="P3886" s="301"/>
      <c r="Q3886" s="290" t="str">
        <f>IF($I3886="不适用","",IF(ROUND(SUM($H$3889:$I$3894),2)=0,"请输入",""))</f>
        <v>请输入</v>
      </c>
      <c r="S3886" s="364"/>
      <c r="Z3886" s="609" t="s">
        <v>3975</v>
      </c>
      <c r="AA3886" s="609" t="s">
        <v>5683</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5683</v>
      </c>
    </row>
    <row r="3888" spans="1:27" ht="17">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5683</v>
      </c>
    </row>
    <row r="3889" spans="1:27" ht="17">
      <c r="A3889" s="2714"/>
      <c r="B3889" s="371">
        <v>101</v>
      </c>
      <c r="C3889" s="371" t="s">
        <v>2791</v>
      </c>
      <c r="D3889" s="2716">
        <f t="shared" ref="D3889:D3894" si="432">IF(OR(G3889="*",G3889="",G3889=0),0,COUNTIF($G$3889:$G$3894,G3889))</f>
        <v>0</v>
      </c>
      <c r="E3889" s="2721">
        <v>1</v>
      </c>
      <c r="F3889" s="294"/>
      <c r="G3889" s="1634" t="s">
        <v>2792</v>
      </c>
      <c r="H3889" s="309"/>
      <c r="I3889" s="346"/>
      <c r="J3889" s="355" t="s">
        <v>5365</v>
      </c>
      <c r="K3889" s="1522" t="s">
        <v>5614</v>
      </c>
      <c r="L3889" s="291"/>
      <c r="M3889" s="291"/>
      <c r="S3889" s="364"/>
      <c r="Z3889" s="609" t="s">
        <v>3975</v>
      </c>
      <c r="AA3889" s="609" t="s">
        <v>5683</v>
      </c>
    </row>
    <row r="3890" spans="1:27" ht="17">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5683</v>
      </c>
    </row>
    <row r="3891" spans="1:27" ht="17">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5683</v>
      </c>
    </row>
    <row r="3892" spans="1:27" ht="17">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5683</v>
      </c>
    </row>
    <row r="3893" spans="1:27" ht="17">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5683</v>
      </c>
    </row>
    <row r="3894" spans="1:27" ht="1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5683</v>
      </c>
    </row>
    <row r="3895" spans="1:27" ht="17">
      <c r="A3895" s="2714"/>
      <c r="B3895" s="371"/>
      <c r="C3895" s="371" t="s">
        <v>2755</v>
      </c>
      <c r="D3895" s="371"/>
      <c r="F3895" s="294"/>
      <c r="G3895" s="301"/>
      <c r="H3895" s="315"/>
      <c r="I3895" s="315"/>
      <c r="J3895" s="291"/>
      <c r="K3895" s="291"/>
      <c r="L3895" s="291"/>
      <c r="M3895" s="291"/>
      <c r="S3895" s="364"/>
      <c r="Z3895" s="609" t="s">
        <v>3975</v>
      </c>
      <c r="AA3895" s="609" t="s">
        <v>5683</v>
      </c>
    </row>
    <row r="3896" spans="1:27" ht="17">
      <c r="A3896" s="2714" t="s">
        <v>1589</v>
      </c>
      <c r="B3896" s="371">
        <v>7</v>
      </c>
      <c r="C3896" s="371"/>
      <c r="D3896" s="2716" t="str">
        <f>VLOOKUP($A3896,Sheet_NoteList,2,0)</f>
        <v>其他应付款补充资料</v>
      </c>
      <c r="E3896" s="2716" t="s">
        <v>6533</v>
      </c>
      <c r="F3896" s="294"/>
      <c r="G3896" s="597" t="str">
        <f>"("&amp;B3896&amp;")"&amp;D3896</f>
        <v>(7)其他应付款补充资料</v>
      </c>
      <c r="H3896" s="1517" t="str">
        <f>$A3896</f>
        <v>2241x</v>
      </c>
      <c r="I3896" s="343" t="s">
        <v>5966</v>
      </c>
      <c r="J3896" s="301" t="s">
        <v>5964</v>
      </c>
      <c r="K3896" s="2210">
        <f>H3913</f>
        <v>0</v>
      </c>
      <c r="L3896" s="345"/>
      <c r="M3896" s="301"/>
      <c r="N3896" s="3084"/>
      <c r="O3896" s="315"/>
      <c r="P3896" s="301"/>
      <c r="S3896" s="364"/>
      <c r="Z3896" s="609" t="s">
        <v>3975</v>
      </c>
      <c r="AA3896" s="609" t="s">
        <v>5683</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5683</v>
      </c>
    </row>
    <row r="3898" spans="1:27" ht="17">
      <c r="A3898" s="2714"/>
      <c r="B3898" s="371"/>
      <c r="C3898" s="371"/>
      <c r="D3898" s="371"/>
      <c r="E3898" s="2716" t="s">
        <v>2749</v>
      </c>
      <c r="F3898" s="294"/>
      <c r="G3898" s="2386" t="s">
        <v>1465</v>
      </c>
      <c r="H3898" s="2398" t="s">
        <v>2775</v>
      </c>
      <c r="I3898" s="2388" t="s">
        <v>2508</v>
      </c>
      <c r="J3898" s="355" t="s">
        <v>6142</v>
      </c>
      <c r="K3898" s="291"/>
      <c r="L3898" s="291"/>
      <c r="M3898" s="291"/>
      <c r="N3898" s="291"/>
      <c r="S3898" s="364"/>
      <c r="Z3898" s="609" t="s">
        <v>3975</v>
      </c>
      <c r="AA3898" s="609" t="s">
        <v>5683</v>
      </c>
    </row>
    <row r="3899" spans="1:27" ht="26">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5683</v>
      </c>
    </row>
    <row r="3900" spans="1:27" ht="17">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5683</v>
      </c>
    </row>
    <row r="3901" spans="1:27" ht="17">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5683</v>
      </c>
    </row>
    <row r="3902" spans="1:27" ht="17">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5683</v>
      </c>
    </row>
    <row r="3903" spans="1:27" ht="17">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5683</v>
      </c>
    </row>
    <row r="3904" spans="1:27" ht="17">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5683</v>
      </c>
    </row>
    <row r="3905" spans="1:27" ht="26">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5683</v>
      </c>
    </row>
    <row r="3906" spans="1:27" ht="17">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5683</v>
      </c>
    </row>
    <row r="3907" spans="1:27" ht="17">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5683</v>
      </c>
    </row>
    <row r="3908" spans="1:27" ht="17">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5683</v>
      </c>
    </row>
    <row r="3909" spans="1:27" ht="17">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5683</v>
      </c>
    </row>
    <row r="3910" spans="1:27" ht="17">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5683</v>
      </c>
    </row>
    <row r="3911" spans="1:27" ht="17">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5683</v>
      </c>
    </row>
    <row r="3912" spans="1:27" ht="17">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5683</v>
      </c>
    </row>
    <row r="3913" spans="1:27" ht="1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5683</v>
      </c>
    </row>
    <row r="3914" spans="1:27" ht="17">
      <c r="A3914" s="2714"/>
      <c r="B3914" s="371"/>
      <c r="C3914" s="371" t="s">
        <v>2755</v>
      </c>
      <c r="D3914" s="371"/>
      <c r="F3914" s="294"/>
      <c r="G3914" s="301"/>
      <c r="H3914" s="315"/>
      <c r="I3914" s="393"/>
      <c r="J3914" s="350"/>
      <c r="K3914" s="291"/>
      <c r="L3914" s="291"/>
      <c r="M3914" s="291"/>
      <c r="N3914" s="291"/>
      <c r="S3914" s="364"/>
      <c r="Z3914" s="609" t="s">
        <v>3975</v>
      </c>
      <c r="AA3914" s="609" t="s">
        <v>5683</v>
      </c>
    </row>
    <row r="3915" spans="1:27" ht="17">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5684</v>
      </c>
    </row>
    <row r="3916" spans="1:27" ht="17">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5684</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5684</v>
      </c>
    </row>
    <row r="3918" spans="1:27" ht="26">
      <c r="A3918" s="2714"/>
      <c r="B3918" s="371"/>
      <c r="C3918" s="371"/>
      <c r="D3918" s="371"/>
      <c r="E3918" s="2716" t="s">
        <v>2749</v>
      </c>
      <c r="F3918" s="294"/>
      <c r="G3918" s="410" t="s">
        <v>47</v>
      </c>
      <c r="H3918" s="1454" t="str">
        <f>$V$2</f>
        <v>2019年12月31日</v>
      </c>
      <c r="I3918" s="1455" t="str">
        <f>$V$3</f>
        <v>2018年12月31日</v>
      </c>
      <c r="J3918" s="355" t="s">
        <v>5309</v>
      </c>
      <c r="K3918" s="291"/>
      <c r="L3918" s="291"/>
      <c r="M3918" s="291"/>
      <c r="S3918" s="364"/>
      <c r="Z3918" s="609" t="s">
        <v>3985</v>
      </c>
      <c r="AA3918" s="609" t="s">
        <v>5684</v>
      </c>
    </row>
    <row r="3919" spans="1:27" ht="17">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5684</v>
      </c>
    </row>
    <row r="3920" spans="1:27" ht="17">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5684</v>
      </c>
    </row>
    <row r="3921" spans="1:29" ht="17">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5684</v>
      </c>
    </row>
    <row r="3922" spans="1:29" ht="17">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5684</v>
      </c>
    </row>
    <row r="3923" spans="1:29" ht="17">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5684</v>
      </c>
    </row>
    <row r="3924" spans="1:29" ht="1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5684</v>
      </c>
    </row>
    <row r="3925" spans="1:29" ht="17">
      <c r="A3925" s="2714"/>
      <c r="B3925" s="371"/>
      <c r="C3925" s="371" t="s">
        <v>2755</v>
      </c>
      <c r="D3925" s="371"/>
      <c r="F3925" s="294"/>
      <c r="G3925" s="301"/>
      <c r="H3925" s="315"/>
      <c r="I3925" s="315"/>
      <c r="J3925" s="291"/>
      <c r="K3925" s="291"/>
      <c r="L3925" s="291"/>
      <c r="M3925" s="291"/>
      <c r="S3925" s="364"/>
      <c r="Z3925" s="609" t="s">
        <v>3985</v>
      </c>
      <c r="AA3925" s="609" t="s">
        <v>5684</v>
      </c>
    </row>
    <row r="3926" spans="1:29" ht="17">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5685</v>
      </c>
    </row>
    <row r="3927" spans="1:29" ht="26">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5685</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5685</v>
      </c>
    </row>
    <row r="3929" spans="1:29" ht="26.5" thickTop="1">
      <c r="A3929" s="2714"/>
      <c r="B3929" s="371"/>
      <c r="C3929" s="371"/>
      <c r="D3929" s="371"/>
      <c r="E3929" s="586" t="s">
        <v>2749</v>
      </c>
      <c r="F3929" s="363"/>
      <c r="G3929" s="2362" t="s">
        <v>47</v>
      </c>
      <c r="H3929" s="2225" t="str">
        <f>$V$2</f>
        <v>2019年12月31日</v>
      </c>
      <c r="I3929" s="2226" t="str">
        <f>$V$3</f>
        <v>2018年12月31日</v>
      </c>
      <c r="J3929" s="355" t="s">
        <v>5310</v>
      </c>
      <c r="K3929" s="1584" t="str">
        <f>""&amp;"&gt;本期:"&amp;""</f>
        <v>&gt;本期:</v>
      </c>
      <c r="L3929" s="1584" t="str">
        <f>""&amp;"&gt;上期:"&amp;""</f>
        <v>&gt;上期:</v>
      </c>
      <c r="M3929" s="2658" t="str">
        <f>""&amp;"NoteID"&amp;""</f>
        <v>NoteID</v>
      </c>
      <c r="S3929" s="364"/>
      <c r="Z3929" s="609" t="s">
        <v>3987</v>
      </c>
      <c r="AA3929" s="609" t="s">
        <v>5685</v>
      </c>
    </row>
    <row r="3930" spans="1:29" ht="17">
      <c r="A3930" s="2714"/>
      <c r="B3930" s="371">
        <v>101</v>
      </c>
      <c r="C3930" s="371"/>
      <c r="D3930" s="2716">
        <f t="shared" ref="D3930:D3935" si="435">IF(OR(G3930="*",G3930="",G3930=0),0,COUNTIF($G$3930:$G$3935,G3930))</f>
        <v>1</v>
      </c>
      <c r="E3930" s="2721">
        <v>1</v>
      </c>
      <c r="F3930" s="294"/>
      <c r="G3930" s="1474" t="s">
        <v>6359</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5685</v>
      </c>
      <c r="AC3930" s="369" t="s">
        <v>2794</v>
      </c>
    </row>
    <row r="3931" spans="1:29" ht="17">
      <c r="A3931" s="2714"/>
      <c r="B3931" s="371">
        <v>102</v>
      </c>
      <c r="C3931" s="371"/>
      <c r="D3931" s="2716">
        <f t="shared" si="435"/>
        <v>1</v>
      </c>
      <c r="E3931" s="2721">
        <v>1</v>
      </c>
      <c r="F3931" s="294"/>
      <c r="G3931" s="1474" t="s">
        <v>6360</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5685</v>
      </c>
      <c r="AC3931" s="369" t="s">
        <v>2794</v>
      </c>
    </row>
    <row r="3932" spans="1:29" ht="17">
      <c r="A3932" s="2714"/>
      <c r="B3932" s="371">
        <v>103</v>
      </c>
      <c r="C3932" s="371"/>
      <c r="D3932" s="2716">
        <f t="shared" si="435"/>
        <v>1</v>
      </c>
      <c r="E3932" s="2721">
        <v>1</v>
      </c>
      <c r="F3932" s="294"/>
      <c r="G3932" s="1474" t="s">
        <v>6361</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5685</v>
      </c>
      <c r="AC3932" s="369" t="s">
        <v>2794</v>
      </c>
    </row>
    <row r="3933" spans="1:29" ht="17">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5685</v>
      </c>
    </row>
    <row r="3934" spans="1:29" ht="17">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5685</v>
      </c>
    </row>
    <row r="3935" spans="1:29" ht="1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5685</v>
      </c>
    </row>
    <row r="3936" spans="1:29" ht="17">
      <c r="A3936" s="2714"/>
      <c r="B3936" s="371"/>
      <c r="C3936" s="371" t="s">
        <v>2755</v>
      </c>
      <c r="D3936" s="371"/>
      <c r="F3936" s="294"/>
      <c r="G3936" s="301"/>
      <c r="H3936" s="315"/>
      <c r="I3936" s="315"/>
      <c r="J3936" s="291"/>
      <c r="K3936" s="1539" t="s">
        <v>5506</v>
      </c>
      <c r="L3936" s="354"/>
      <c r="M3936" s="354"/>
      <c r="S3936" s="364"/>
      <c r="Z3936" s="609" t="s">
        <v>3987</v>
      </c>
      <c r="AA3936" s="609" t="s">
        <v>5685</v>
      </c>
    </row>
    <row r="3937" spans="1:27" ht="17">
      <c r="A3937" s="2714" t="s">
        <v>1608</v>
      </c>
      <c r="B3937" s="371">
        <v>2</v>
      </c>
      <c r="C3937" s="371"/>
      <c r="D3937" s="2716" t="str">
        <f>VLOOKUP($A3937,Sheet_NoteList,2,0)</f>
        <v>一年内到期的长期借款</v>
      </c>
      <c r="E3937" s="2716" t="s">
        <v>6533</v>
      </c>
      <c r="F3937" s="294"/>
      <c r="G3937" s="307" t="str">
        <f>"("&amp;B3937&amp;")"&amp;D3937</f>
        <v>(2)一年内到期的长期借款</v>
      </c>
      <c r="H3937" s="1517" t="str">
        <f>$A3937</f>
        <v>2395b</v>
      </c>
      <c r="I3937" s="343" t="s">
        <v>5966</v>
      </c>
      <c r="J3937" s="301" t="s">
        <v>5964</v>
      </c>
      <c r="K3937" s="2210">
        <f>H3945</f>
        <v>0</v>
      </c>
      <c r="L3937" s="345" t="str">
        <f>IF($I3937="适用",IF(ROUND(K$3926-K3937,2)&gt;=0,"","#Logical!"),"#N/A")</f>
        <v/>
      </c>
      <c r="M3937" s="301" t="s">
        <v>5971</v>
      </c>
      <c r="N3937" s="2210">
        <f>I3945</f>
        <v>0</v>
      </c>
      <c r="O3937" s="345" t="str">
        <f>IF($I3937="适用",IF(ROUND(N$3926-N3937,2)&gt;=0,"","#Logical!"),"#N/A")</f>
        <v/>
      </c>
      <c r="P3937" s="301"/>
      <c r="Q3937" s="290" t="str">
        <f>IF($I3937="不适用","",IF(ROUND(SUM($H$3940:$I$3945),2)=0,"请输入",""))</f>
        <v>请输入</v>
      </c>
      <c r="S3937" s="364"/>
      <c r="Z3937" s="609" t="s">
        <v>3987</v>
      </c>
      <c r="AA3937" s="609" t="s">
        <v>5685</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5685</v>
      </c>
    </row>
    <row r="3939" spans="1:27" ht="17">
      <c r="A3939" s="2714"/>
      <c r="B3939" s="371"/>
      <c r="C3939" s="371"/>
      <c r="D3939" s="371"/>
      <c r="E3939" s="586" t="s">
        <v>2749</v>
      </c>
      <c r="F3939" s="363"/>
      <c r="G3939" s="2363" t="s">
        <v>47</v>
      </c>
      <c r="H3939" s="2364" t="s">
        <v>2775</v>
      </c>
      <c r="I3939" s="2365" t="s">
        <v>2776</v>
      </c>
      <c r="J3939" s="355" t="s">
        <v>6142</v>
      </c>
      <c r="K3939" s="291"/>
      <c r="L3939" s="291"/>
      <c r="M3939" s="291"/>
      <c r="S3939" s="364"/>
      <c r="Z3939" s="609" t="s">
        <v>3987</v>
      </c>
      <c r="AA3939" s="609" t="s">
        <v>5685</v>
      </c>
    </row>
    <row r="3940" spans="1:27" ht="17">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5685</v>
      </c>
    </row>
    <row r="3941" spans="1:27" ht="17">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5685</v>
      </c>
    </row>
    <row r="3942" spans="1:27" ht="17">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5685</v>
      </c>
    </row>
    <row r="3943" spans="1:27" ht="17">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5685</v>
      </c>
    </row>
    <row r="3944" spans="1:27" ht="17">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5685</v>
      </c>
    </row>
    <row r="3945" spans="1:27" ht="1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5685</v>
      </c>
    </row>
    <row r="3946" spans="1:27" ht="17">
      <c r="A3946" s="2714"/>
      <c r="B3946" s="371"/>
      <c r="C3946" s="371" t="s">
        <v>2755</v>
      </c>
      <c r="D3946" s="371"/>
      <c r="F3946" s="294"/>
      <c r="G3946" s="557"/>
      <c r="H3946" s="315"/>
      <c r="I3946" s="315"/>
      <c r="J3946" s="291"/>
      <c r="K3946" s="291"/>
      <c r="L3946" s="291"/>
      <c r="M3946" s="291"/>
      <c r="S3946" s="364"/>
      <c r="Z3946" s="609" t="s">
        <v>3987</v>
      </c>
      <c r="AA3946" s="609" t="s">
        <v>5685</v>
      </c>
    </row>
    <row r="3947" spans="1:27" ht="17">
      <c r="A3947" s="2714" t="s">
        <v>1612</v>
      </c>
      <c r="B3947" s="371">
        <v>3</v>
      </c>
      <c r="C3947" s="371"/>
      <c r="D3947" s="2716" t="str">
        <f>VLOOKUP($A3947,Sheet_NoteList,2,0)</f>
        <v>一年内到期的应付债券</v>
      </c>
      <c r="E3947" s="2716" t="s">
        <v>6533</v>
      </c>
      <c r="F3947" s="294"/>
      <c r="G3947" s="307" t="str">
        <f>"("&amp;B3947&amp;")"&amp;D3947</f>
        <v>(3)一年内到期的应付债券</v>
      </c>
      <c r="H3947" s="1517" t="str">
        <f>$A3947</f>
        <v>2395e</v>
      </c>
      <c r="I3947" s="343" t="s">
        <v>5966</v>
      </c>
      <c r="J3947" s="301" t="s">
        <v>5964</v>
      </c>
      <c r="K3947" s="2210">
        <f>Q3955</f>
        <v>0</v>
      </c>
      <c r="L3947" s="345" t="str">
        <f>IF($I3947="适用",IF(ROUND(K$3926-K3947,2)&gt;=0,"","#Logical!"),"#N/A")</f>
        <v/>
      </c>
      <c r="M3947" s="301" t="s">
        <v>5965</v>
      </c>
      <c r="N3947" s="2210">
        <f>L3955</f>
        <v>0</v>
      </c>
      <c r="O3947" s="345" t="str">
        <f>IF($I3947="适用",IF(ROUND(N$3926-N3947,2)&gt;=0,"","#Logical!"),"#N/A")</f>
        <v/>
      </c>
      <c r="P3947" s="301"/>
      <c r="Q3947" s="290" t="str">
        <f>IF($I3947="不适用","",IF(ROUND(SUM($H$3950:$Q$3955),2)=0,"请输入",""))</f>
        <v>请输入</v>
      </c>
      <c r="R3947" s="367"/>
      <c r="S3947" s="364"/>
      <c r="Z3947" s="609" t="s">
        <v>3987</v>
      </c>
      <c r="AA3947" s="609" t="s">
        <v>5685</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5685</v>
      </c>
    </row>
    <row r="3949" spans="1:27" ht="26">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6142</v>
      </c>
      <c r="S3949" s="364"/>
      <c r="T3949" s="291"/>
      <c r="Z3949" s="609" t="s">
        <v>3987</v>
      </c>
      <c r="AA3949" s="609" t="s">
        <v>5685</v>
      </c>
    </row>
    <row r="3950" spans="1:27" ht="17">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5685</v>
      </c>
    </row>
    <row r="3951" spans="1:27" ht="17">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5685</v>
      </c>
    </row>
    <row r="3952" spans="1:27" ht="17">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5685</v>
      </c>
    </row>
    <row r="3953" spans="1:27" ht="17">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5685</v>
      </c>
    </row>
    <row r="3954" spans="1:27" ht="17">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5685</v>
      </c>
    </row>
    <row r="3955" spans="1:27" ht="1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5685</v>
      </c>
    </row>
    <row r="3956" spans="1:27" ht="17">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5685</v>
      </c>
    </row>
    <row r="3957" spans="1:27" ht="26">
      <c r="A3957" s="2714" t="s">
        <v>1617</v>
      </c>
      <c r="B3957" s="371">
        <v>4</v>
      </c>
      <c r="C3957" s="371"/>
      <c r="D3957" s="2716" t="str">
        <f>VLOOKUP($A3957,Sheet_NoteList,2,0)</f>
        <v>一年内到期的长期应付款项</v>
      </c>
      <c r="E3957" s="2716" t="s">
        <v>6533</v>
      </c>
      <c r="F3957" s="294"/>
      <c r="G3957" s="372" t="str">
        <f>"("&amp;B3957&amp;")"&amp;D3957</f>
        <v>(4)一年内到期的长期应付款项</v>
      </c>
      <c r="H3957" s="1517" t="str">
        <f>$A3957</f>
        <v>2395f</v>
      </c>
      <c r="I3957" s="343" t="s">
        <v>5967</v>
      </c>
      <c r="J3957" s="301" t="s">
        <v>5972</v>
      </c>
      <c r="K3957" s="2210">
        <f>H3965</f>
        <v>0</v>
      </c>
      <c r="L3957" s="345" t="str">
        <f>IF($I3957="适用",IF(ROUND(K$3926-K3957,2)&gt;=0,"","#Logical!"),"#N/A")</f>
        <v/>
      </c>
      <c r="M3957" s="301" t="s">
        <v>5968</v>
      </c>
      <c r="N3957" s="2210">
        <f>I3965</f>
        <v>0</v>
      </c>
      <c r="O3957" s="345" t="str">
        <f>IF($I3957="适用",IF(ROUND(N$3926-N3957,2)&gt;=0,"","#Logical!"),"#N/A")</f>
        <v/>
      </c>
      <c r="P3957" s="301"/>
      <c r="Q3957" s="290" t="str">
        <f>IF($I3957="不适用","",IF(ROUND(SUM($H$3960:$I$3965),2)=0,"请输入",""))</f>
        <v>请输入</v>
      </c>
      <c r="S3957" s="364"/>
      <c r="Z3957" s="609" t="s">
        <v>3987</v>
      </c>
      <c r="AA3957" s="609" t="s">
        <v>5685</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5685</v>
      </c>
    </row>
    <row r="3959" spans="1:27" ht="17">
      <c r="A3959" s="2714"/>
      <c r="B3959" s="371"/>
      <c r="C3959" s="371"/>
      <c r="D3959" s="371"/>
      <c r="E3959" s="586" t="s">
        <v>2749</v>
      </c>
      <c r="F3959" s="363"/>
      <c r="G3959" s="2363" t="s">
        <v>47</v>
      </c>
      <c r="H3959" s="2364" t="s">
        <v>2775</v>
      </c>
      <c r="I3959" s="2365" t="s">
        <v>2776</v>
      </c>
      <c r="J3959" s="355" t="s">
        <v>6142</v>
      </c>
      <c r="K3959" s="291"/>
      <c r="L3959" s="291"/>
      <c r="M3959" s="291"/>
      <c r="N3959" s="291"/>
      <c r="O3959" s="291"/>
      <c r="P3959" s="291"/>
      <c r="Q3959" s="367"/>
      <c r="R3959" s="367"/>
      <c r="S3959" s="364"/>
      <c r="Z3959" s="609" t="s">
        <v>3987</v>
      </c>
      <c r="AA3959" s="609" t="s">
        <v>5685</v>
      </c>
    </row>
    <row r="3960" spans="1:27" ht="17">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5685</v>
      </c>
    </row>
    <row r="3961" spans="1:27" ht="17">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5685</v>
      </c>
    </row>
    <row r="3962" spans="1:27" ht="17">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5685</v>
      </c>
    </row>
    <row r="3963" spans="1:27" ht="17">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5685</v>
      </c>
    </row>
    <row r="3964" spans="1:27" ht="17">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5685</v>
      </c>
    </row>
    <row r="3965" spans="1:27" ht="1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5685</v>
      </c>
    </row>
    <row r="3966" spans="1:27" ht="17">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5685</v>
      </c>
    </row>
    <row r="3967" spans="1:27" ht="17">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5686</v>
      </c>
    </row>
    <row r="3968" spans="1:27" ht="17">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5686</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5686</v>
      </c>
    </row>
    <row r="3970" spans="1:29" ht="26">
      <c r="A3970" s="2714"/>
      <c r="B3970" s="371"/>
      <c r="C3970" s="371"/>
      <c r="D3970" s="371"/>
      <c r="E3970" s="2716" t="s">
        <v>2749</v>
      </c>
      <c r="F3970" s="294"/>
      <c r="G3970" s="410" t="s">
        <v>47</v>
      </c>
      <c r="H3970" s="1454" t="str">
        <f>$V$2</f>
        <v>2019年12月31日</v>
      </c>
      <c r="I3970" s="1455" t="str">
        <f>$V$3</f>
        <v>2018年12月31日</v>
      </c>
      <c r="J3970" s="355" t="s">
        <v>5311</v>
      </c>
      <c r="K3970" s="291"/>
      <c r="L3970" s="291"/>
      <c r="M3970" s="291"/>
      <c r="S3970" s="364"/>
      <c r="Z3970" s="609" t="s">
        <v>4007</v>
      </c>
      <c r="AA3970" s="609" t="s">
        <v>5686</v>
      </c>
    </row>
    <row r="3971" spans="1:29" ht="17">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5686</v>
      </c>
      <c r="AC3971" s="369" t="s">
        <v>6575</v>
      </c>
    </row>
    <row r="3972" spans="1:29" ht="26">
      <c r="A3972" s="2714"/>
      <c r="B3972" s="371">
        <v>102</v>
      </c>
      <c r="C3972" s="371"/>
      <c r="D3972" s="2716">
        <f t="shared" si="441"/>
        <v>1</v>
      </c>
      <c r="E3972" s="2721">
        <v>1</v>
      </c>
      <c r="F3972" s="294"/>
      <c r="G3972" s="308" t="s">
        <v>5253</v>
      </c>
      <c r="H3972" s="309"/>
      <c r="I3972" s="346"/>
      <c r="J3972" s="357"/>
      <c r="K3972" s="291"/>
      <c r="L3972" s="291"/>
      <c r="M3972" s="291"/>
      <c r="S3972" s="364"/>
      <c r="Z3972" s="609" t="s">
        <v>4007</v>
      </c>
      <c r="AA3972" s="609" t="s">
        <v>5686</v>
      </c>
    </row>
    <row r="3973" spans="1:29" ht="17">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5686</v>
      </c>
    </row>
    <row r="3974" spans="1:29" ht="17">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5686</v>
      </c>
    </row>
    <row r="3975" spans="1:29" ht="17">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5686</v>
      </c>
    </row>
    <row r="3976" spans="1:29" ht="17">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5686</v>
      </c>
    </row>
    <row r="3977" spans="1:29" ht="1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5686</v>
      </c>
    </row>
    <row r="3978" spans="1:29" ht="17">
      <c r="A3978" s="2714"/>
      <c r="B3978" s="371"/>
      <c r="C3978" s="371" t="s">
        <v>2755</v>
      </c>
      <c r="D3978" s="371"/>
      <c r="F3978" s="294"/>
      <c r="G3978" s="301"/>
      <c r="H3978" s="315"/>
      <c r="I3978" s="315"/>
      <c r="J3978" s="291"/>
      <c r="K3978" s="291"/>
      <c r="L3978" s="291"/>
      <c r="M3978" s="291"/>
      <c r="S3978" s="364"/>
      <c r="Z3978" s="609" t="s">
        <v>4007</v>
      </c>
      <c r="AA3978" s="609" t="s">
        <v>5686</v>
      </c>
    </row>
    <row r="3979" spans="1:29" ht="26">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5686</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5686</v>
      </c>
    </row>
    <row r="3981" spans="1:29" ht="26">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5311</v>
      </c>
      <c r="S3981" s="364"/>
      <c r="T3981" s="291"/>
      <c r="Z3981" s="609" t="s">
        <v>4007</v>
      </c>
      <c r="AA3981" s="609" t="s">
        <v>5686</v>
      </c>
    </row>
    <row r="3982" spans="1:29" ht="17">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5686</v>
      </c>
    </row>
    <row r="3983" spans="1:29" ht="17">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5686</v>
      </c>
    </row>
    <row r="3984" spans="1:29" ht="17">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5686</v>
      </c>
    </row>
    <row r="3985" spans="1:29" ht="17">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5686</v>
      </c>
    </row>
    <row r="3986" spans="1:29" ht="17">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5686</v>
      </c>
    </row>
    <row r="3987" spans="1:29" ht="1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5686</v>
      </c>
    </row>
    <row r="3988" spans="1:29" ht="1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5686</v>
      </c>
    </row>
    <row r="3989" spans="1:29" ht="1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5686</v>
      </c>
    </row>
    <row r="3990" spans="1:29" ht="17">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5686</v>
      </c>
    </row>
    <row r="3991" spans="1:29" ht="17">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5686</v>
      </c>
    </row>
    <row r="3992" spans="1:29" ht="1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5686</v>
      </c>
    </row>
    <row r="3993" spans="1:29" ht="1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5686</v>
      </c>
    </row>
    <row r="3994" spans="1:29" ht="17">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5686</v>
      </c>
    </row>
    <row r="3995" spans="1:29" ht="17">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5686</v>
      </c>
    </row>
    <row r="3996" spans="1:29" ht="17">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5687</v>
      </c>
    </row>
    <row r="3997" spans="1:29" ht="17">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5687</v>
      </c>
    </row>
    <row r="3998" spans="1:29" ht="0.75" customHeight="1" thickBot="1">
      <c r="A3998" s="2714"/>
      <c r="B3998" s="371"/>
      <c r="C3998" s="371"/>
      <c r="D3998" s="371"/>
      <c r="E3998" s="586"/>
      <c r="F3998" s="586"/>
      <c r="G3998" s="586" t="s">
        <v>4015</v>
      </c>
      <c r="H3998" s="371" t="s">
        <v>2747</v>
      </c>
      <c r="I3998" s="371" t="s">
        <v>6290</v>
      </c>
      <c r="J3998" s="371" t="s">
        <v>6291</v>
      </c>
      <c r="K3998" s="476"/>
      <c r="L3998" s="472"/>
      <c r="M3998" s="472"/>
      <c r="N3998" s="442"/>
      <c r="O3998" s="442"/>
      <c r="P3998" s="442"/>
      <c r="Q3998" s="442"/>
      <c r="R3998" s="443"/>
      <c r="S3998" s="364"/>
      <c r="Z3998" s="609" t="s">
        <v>4014</v>
      </c>
      <c r="AA3998" s="609" t="s">
        <v>5687</v>
      </c>
    </row>
    <row r="3999" spans="1:29" ht="26">
      <c r="A3999" s="2714"/>
      <c r="B3999" s="371"/>
      <c r="C3999" s="371"/>
      <c r="D3999" s="371"/>
      <c r="E3999" s="586" t="s">
        <v>2749</v>
      </c>
      <c r="F3999" s="363"/>
      <c r="G3999" s="2408" t="s">
        <v>1359</v>
      </c>
      <c r="H3999" s="2225" t="str">
        <f>$V$2</f>
        <v>2019年12月31日</v>
      </c>
      <c r="I3999" s="2225" t="str">
        <f>$V$3</f>
        <v>2018年12月31日</v>
      </c>
      <c r="J3999" s="2560" t="s">
        <v>6143</v>
      </c>
      <c r="K3999" s="355" t="s">
        <v>5312</v>
      </c>
      <c r="L3999" s="472"/>
      <c r="M3999" s="472"/>
      <c r="N3999" s="442"/>
      <c r="O3999" s="442"/>
      <c r="P3999" s="442"/>
      <c r="Q3999" s="442"/>
      <c r="R3999" s="443"/>
      <c r="S3999" s="364"/>
      <c r="Z3999" s="609" t="s">
        <v>4014</v>
      </c>
      <c r="AA3999" s="609" t="s">
        <v>5687</v>
      </c>
    </row>
    <row r="4000" spans="1:29" ht="17">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5687</v>
      </c>
      <c r="AC4000" s="369" t="s">
        <v>2794</v>
      </c>
    </row>
    <row r="4001" spans="1:29" ht="17">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5687</v>
      </c>
      <c r="AC4001" s="369" t="s">
        <v>2794</v>
      </c>
    </row>
    <row r="4002" spans="1:29" ht="17">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5687</v>
      </c>
      <c r="AC4002" s="369" t="s">
        <v>2794</v>
      </c>
    </row>
    <row r="4003" spans="1:29" ht="17">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5687</v>
      </c>
      <c r="AC4003" s="369" t="s">
        <v>2794</v>
      </c>
    </row>
    <row r="4004" spans="1:29" ht="17">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5687</v>
      </c>
    </row>
    <row r="4005" spans="1:29" ht="17">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5687</v>
      </c>
    </row>
    <row r="4006" spans="1:29" ht="17">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5687</v>
      </c>
    </row>
    <row r="4007" spans="1:29" ht="17">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5687</v>
      </c>
      <c r="AC4007" s="369" t="s">
        <v>6575</v>
      </c>
    </row>
    <row r="4008" spans="1:29" ht="1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5687</v>
      </c>
    </row>
    <row r="4009" spans="1:29" ht="17">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5687</v>
      </c>
    </row>
    <row r="4010" spans="1:29" ht="26">
      <c r="A4010" s="2714" t="s">
        <v>1642</v>
      </c>
      <c r="B4010" s="371">
        <v>1.1000000000000001</v>
      </c>
      <c r="C4010" s="371"/>
      <c r="D4010" s="2716" t="str">
        <f>VLOOKUP($A4010,Sheet_NoteList,2,0)</f>
        <v>长期借款中的质押借款明细列示</v>
      </c>
      <c r="E4010" s="2716" t="s">
        <v>6533</v>
      </c>
      <c r="F4010" s="294"/>
      <c r="G4010" s="483" t="str">
        <f>"("&amp;B4010&amp;")"&amp;D4010</f>
        <v>(1.1)长期借款中的质押借款明细列示</v>
      </c>
      <c r="H4010" s="1517" t="str">
        <f>$A4010</f>
        <v>2501d</v>
      </c>
      <c r="I4010" s="343" t="s">
        <v>5966</v>
      </c>
      <c r="J4010" s="301" t="s">
        <v>5964</v>
      </c>
      <c r="K4010" s="2210">
        <f>H4018</f>
        <v>0</v>
      </c>
      <c r="L4010" s="345"/>
      <c r="M4010" s="301"/>
      <c r="N4010" s="391"/>
      <c r="O4010" s="345"/>
      <c r="P4010" s="301"/>
      <c r="S4010" s="364"/>
      <c r="Z4010" s="609" t="s">
        <v>4014</v>
      </c>
      <c r="AA4010" s="609" t="s">
        <v>5687</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5687</v>
      </c>
    </row>
    <row r="4012" spans="1:29" ht="26">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6142</v>
      </c>
      <c r="N4012" s="290"/>
      <c r="O4012" s="290"/>
      <c r="P4012" s="290"/>
      <c r="S4012" s="364"/>
      <c r="Z4012" s="609" t="s">
        <v>4014</v>
      </c>
      <c r="AA4012" s="609" t="s">
        <v>5687</v>
      </c>
    </row>
    <row r="4013" spans="1:29" ht="17">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5687</v>
      </c>
    </row>
    <row r="4014" spans="1:29" ht="17">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5687</v>
      </c>
    </row>
    <row r="4015" spans="1:29" ht="17">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5687</v>
      </c>
    </row>
    <row r="4016" spans="1:29" ht="17">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5687</v>
      </c>
    </row>
    <row r="4017" spans="1:27" ht="17">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5687</v>
      </c>
    </row>
    <row r="4018" spans="1:27" ht="1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5687</v>
      </c>
    </row>
    <row r="4019" spans="1:27" ht="17">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5687</v>
      </c>
    </row>
    <row r="4020" spans="1:27" ht="26">
      <c r="A4020" s="2714" t="s">
        <v>1647</v>
      </c>
      <c r="B4020" s="371">
        <v>1.2</v>
      </c>
      <c r="C4020" s="371"/>
      <c r="D4020" s="2716" t="str">
        <f>VLOOKUP($A4020,Sheet_NoteList,2,0)</f>
        <v>长期借款中的抵押借款明细列示</v>
      </c>
      <c r="E4020" s="2716" t="s">
        <v>6533</v>
      </c>
      <c r="F4020" s="294"/>
      <c r="G4020" s="483" t="str">
        <f>"("&amp;B4020&amp;")"&amp;D4020</f>
        <v>(1.2)长期借款中的抵押借款明细列示</v>
      </c>
      <c r="H4020" s="1517" t="str">
        <f>$A4020</f>
        <v>2501e</v>
      </c>
      <c r="I4020" s="343" t="s">
        <v>5967</v>
      </c>
      <c r="J4020" s="301" t="s">
        <v>5972</v>
      </c>
      <c r="K4020" s="2210">
        <f>H4028</f>
        <v>0</v>
      </c>
      <c r="L4020" s="345"/>
      <c r="M4020" s="301"/>
      <c r="N4020" s="391"/>
      <c r="O4020" s="345"/>
      <c r="P4020" s="301"/>
      <c r="S4020" s="364"/>
      <c r="Z4020" s="609" t="s">
        <v>4014</v>
      </c>
      <c r="AA4020" s="609" t="s">
        <v>5687</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5687</v>
      </c>
    </row>
    <row r="4022" spans="1:27" ht="26">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6142</v>
      </c>
      <c r="N4022" s="290"/>
      <c r="O4022" s="290"/>
      <c r="P4022" s="290"/>
      <c r="S4022" s="364"/>
      <c r="Z4022" s="609" t="s">
        <v>4014</v>
      </c>
      <c r="AA4022" s="609" t="s">
        <v>5687</v>
      </c>
    </row>
    <row r="4023" spans="1:27" ht="17">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5687</v>
      </c>
    </row>
    <row r="4024" spans="1:27" ht="17">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5687</v>
      </c>
    </row>
    <row r="4025" spans="1:27" ht="17">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5687</v>
      </c>
    </row>
    <row r="4026" spans="1:27" ht="17">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5687</v>
      </c>
    </row>
    <row r="4027" spans="1:27" ht="17">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5687</v>
      </c>
    </row>
    <row r="4028" spans="1:27" ht="1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5687</v>
      </c>
    </row>
    <row r="4029" spans="1:27" ht="17">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5687</v>
      </c>
    </row>
    <row r="4030" spans="1:27" ht="26">
      <c r="A4030" s="2714" t="s">
        <v>1652</v>
      </c>
      <c r="B4030" s="371">
        <v>1.3</v>
      </c>
      <c r="C4030" s="371"/>
      <c r="D4030" s="2716" t="str">
        <f>VLOOKUP($A4030,Sheet_NoteList,2,0)</f>
        <v>长期借款中的保证借款明细列示</v>
      </c>
      <c r="E4030" s="2716" t="s">
        <v>6533</v>
      </c>
      <c r="F4030" s="294"/>
      <c r="G4030" s="483" t="str">
        <f>"("&amp;B4030&amp;")"&amp;D4030</f>
        <v>(1.3)长期借款中的保证借款明细列示</v>
      </c>
      <c r="H4030" s="1517" t="str">
        <f>$A4030</f>
        <v>2501f</v>
      </c>
      <c r="I4030" s="343" t="s">
        <v>5967</v>
      </c>
      <c r="J4030" s="301" t="s">
        <v>5972</v>
      </c>
      <c r="K4030" s="2210">
        <f>H4038</f>
        <v>0</v>
      </c>
      <c r="L4030" s="345"/>
      <c r="M4030" s="301"/>
      <c r="N4030" s="391"/>
      <c r="O4030" s="345"/>
      <c r="P4030" s="301"/>
      <c r="S4030" s="364"/>
      <c r="Z4030" s="609" t="s">
        <v>4014</v>
      </c>
      <c r="AA4030" s="609" t="s">
        <v>5687</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5687</v>
      </c>
    </row>
    <row r="4032" spans="1:27" ht="26">
      <c r="A4032" s="2714"/>
      <c r="B4032" s="371"/>
      <c r="C4032" s="371"/>
      <c r="D4032" s="371"/>
      <c r="E4032" s="586" t="s">
        <v>2749</v>
      </c>
      <c r="F4032" s="363"/>
      <c r="G4032" s="2409" t="s">
        <v>1365</v>
      </c>
      <c r="H4032" s="2404" t="s">
        <v>3815</v>
      </c>
      <c r="I4032" s="2404" t="s">
        <v>3823</v>
      </c>
      <c r="J4032" s="2404" t="s">
        <v>3824</v>
      </c>
      <c r="K4032" s="2403" t="s">
        <v>4022</v>
      </c>
      <c r="L4032" s="355" t="s">
        <v>6142</v>
      </c>
      <c r="M4032" s="290"/>
      <c r="N4032" s="290"/>
      <c r="O4032" s="290"/>
      <c r="P4032" s="290"/>
      <c r="S4032" s="364"/>
      <c r="Z4032" s="609" t="s">
        <v>4014</v>
      </c>
      <c r="AA4032" s="609" t="s">
        <v>5687</v>
      </c>
    </row>
    <row r="4033" spans="1:27" ht="17">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5687</v>
      </c>
    </row>
    <row r="4034" spans="1:27" ht="17">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5687</v>
      </c>
    </row>
    <row r="4035" spans="1:27" ht="17">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5687</v>
      </c>
    </row>
    <row r="4036" spans="1:27" ht="17">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5687</v>
      </c>
    </row>
    <row r="4037" spans="1:27" ht="17">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5687</v>
      </c>
    </row>
    <row r="4038" spans="1:27" ht="1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5687</v>
      </c>
    </row>
    <row r="4039" spans="1:27" ht="17">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5687</v>
      </c>
    </row>
    <row r="4040" spans="1:27" ht="17">
      <c r="A4040" s="2714" t="s">
        <v>1657</v>
      </c>
      <c r="B4040" s="371">
        <v>2</v>
      </c>
      <c r="C4040" s="371"/>
      <c r="D4040" s="2716" t="str">
        <f>VLOOKUP($A4040,Sheet_NoteList,2,0)</f>
        <v>外币长期借款</v>
      </c>
      <c r="E4040" s="2716" t="s">
        <v>6533</v>
      </c>
      <c r="F4040" s="294"/>
      <c r="G4040" s="372" t="str">
        <f>"("&amp;B4040&amp;")"&amp;D4040</f>
        <v>(2)外币长期借款</v>
      </c>
      <c r="H4040" s="1517" t="str">
        <f>$A4040</f>
        <v>2501c</v>
      </c>
      <c r="I4040" s="343" t="s">
        <v>5583</v>
      </c>
      <c r="J4040" s="301" t="s">
        <v>5581</v>
      </c>
      <c r="K4040" s="2210">
        <f>J4048</f>
        <v>0</v>
      </c>
      <c r="L4040" s="345"/>
      <c r="M4040" s="301" t="s">
        <v>5582</v>
      </c>
      <c r="N4040" s="2210">
        <f>L4048</f>
        <v>0</v>
      </c>
      <c r="O4040" s="345"/>
      <c r="P4040" s="301"/>
      <c r="Q4040" s="290" t="str">
        <f>IF($I4040="不适用","",IF(ROUND(SUM($H$4043:$J$4048),2)=0,"请输入",""))</f>
        <v>请输入</v>
      </c>
      <c r="S4040" s="364"/>
      <c r="Z4040" s="609" t="s">
        <v>4014</v>
      </c>
      <c r="AA4040" s="609" t="s">
        <v>5687</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5687</v>
      </c>
    </row>
    <row r="4042" spans="1:27" ht="26">
      <c r="A4042" s="2714"/>
      <c r="B4042" s="371"/>
      <c r="C4042" s="371"/>
      <c r="D4042" s="371"/>
      <c r="E4042" s="2716" t="s">
        <v>2749</v>
      </c>
      <c r="F4042" s="294"/>
      <c r="G4042" s="1629" t="s">
        <v>1371</v>
      </c>
      <c r="H4042" s="1627" t="s">
        <v>3076</v>
      </c>
      <c r="I4042" s="1627" t="s">
        <v>3077</v>
      </c>
      <c r="J4042" s="1628" t="s">
        <v>3078</v>
      </c>
      <c r="K4042" s="355" t="s">
        <v>5605</v>
      </c>
      <c r="L4042" s="291"/>
      <c r="N4042" s="291"/>
      <c r="O4042" s="291"/>
      <c r="P4042" s="291"/>
      <c r="Q4042" s="367"/>
      <c r="R4042" s="367"/>
      <c r="S4042" s="364"/>
      <c r="Z4042" s="609" t="s">
        <v>4014</v>
      </c>
      <c r="AA4042" s="609" t="s">
        <v>5687</v>
      </c>
    </row>
    <row r="4043" spans="1:27" ht="17">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5365</v>
      </c>
      <c r="L4043" s="1522" t="s">
        <v>5366</v>
      </c>
      <c r="M4043" s="291"/>
      <c r="N4043" s="291"/>
      <c r="O4043" s="291"/>
      <c r="P4043" s="291"/>
      <c r="S4043" s="364"/>
      <c r="Z4043" s="609" t="s">
        <v>4014</v>
      </c>
      <c r="AA4043" s="609" t="s">
        <v>5687</v>
      </c>
    </row>
    <row r="4044" spans="1:27" ht="17">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5687</v>
      </c>
    </row>
    <row r="4045" spans="1:27" ht="17">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5687</v>
      </c>
    </row>
    <row r="4046" spans="1:27" ht="17">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5687</v>
      </c>
    </row>
    <row r="4047" spans="1:27" ht="17">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5687</v>
      </c>
    </row>
    <row r="4048" spans="1:27" ht="1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5687</v>
      </c>
    </row>
    <row r="4049" spans="1:29" ht="17">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5687</v>
      </c>
    </row>
    <row r="4050" spans="1:29" ht="17">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5688</v>
      </c>
    </row>
    <row r="4051" spans="1:29" ht="17">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5688</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5688</v>
      </c>
    </row>
    <row r="4053" spans="1:29" ht="26">
      <c r="A4053" s="2714"/>
      <c r="B4053" s="371"/>
      <c r="C4053" s="371"/>
      <c r="D4053" s="371"/>
      <c r="E4053" s="2716" t="s">
        <v>2749</v>
      </c>
      <c r="F4053" s="294"/>
      <c r="G4053" s="410" t="s">
        <v>47</v>
      </c>
      <c r="H4053" s="1454" t="str">
        <f>$V$2</f>
        <v>2019年12月31日</v>
      </c>
      <c r="I4053" s="1455" t="str">
        <f>$V$3</f>
        <v>2018年12月31日</v>
      </c>
      <c r="J4053" s="355" t="s">
        <v>5313</v>
      </c>
      <c r="K4053" s="291"/>
      <c r="L4053" s="291"/>
      <c r="M4053" s="291"/>
      <c r="N4053" s="291"/>
      <c r="O4053" s="291"/>
      <c r="P4053" s="291"/>
      <c r="Q4053" s="367"/>
      <c r="R4053" s="367"/>
      <c r="S4053" s="364"/>
      <c r="Z4053" s="609" t="s">
        <v>4025</v>
      </c>
      <c r="AA4053" s="609" t="s">
        <v>5688</v>
      </c>
    </row>
    <row r="4054" spans="1:29" ht="17">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5688</v>
      </c>
    </row>
    <row r="4055" spans="1:29" ht="17">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5688</v>
      </c>
    </row>
    <row r="4056" spans="1:29" ht="17">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5688</v>
      </c>
    </row>
    <row r="4057" spans="1:29" ht="17">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5688</v>
      </c>
    </row>
    <row r="4058" spans="1:29" ht="17">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5688</v>
      </c>
      <c r="AC4058" s="369" t="s">
        <v>6575</v>
      </c>
    </row>
    <row r="4059" spans="1:29" ht="1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5688</v>
      </c>
      <c r="AC4059" s="369" t="s">
        <v>2794</v>
      </c>
    </row>
    <row r="4060" spans="1:29" ht="17">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5688</v>
      </c>
    </row>
    <row r="4061" spans="1:29" ht="52">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5688</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5688</v>
      </c>
    </row>
    <row r="4063" spans="1:29" ht="26">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5313</v>
      </c>
      <c r="S4063" s="364"/>
      <c r="T4063" s="291"/>
      <c r="Z4063" s="609" t="s">
        <v>4025</v>
      </c>
      <c r="AA4063" s="609" t="s">
        <v>5688</v>
      </c>
    </row>
    <row r="4064" spans="1:29" ht="17">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5688</v>
      </c>
    </row>
    <row r="4065" spans="1:27" ht="17">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5688</v>
      </c>
    </row>
    <row r="4066" spans="1:27" ht="17">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5688</v>
      </c>
    </row>
    <row r="4067" spans="1:27" ht="17">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5688</v>
      </c>
    </row>
    <row r="4068" spans="1:27" ht="17">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5688</v>
      </c>
    </row>
    <row r="4069" spans="1:27" ht="17">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5688</v>
      </c>
    </row>
    <row r="4070" spans="1:27" ht="17">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5688</v>
      </c>
    </row>
    <row r="4071" spans="1:27" ht="17">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5688</v>
      </c>
    </row>
    <row r="4072" spans="1:27" ht="1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5688</v>
      </c>
    </row>
    <row r="4073" spans="1:27" ht="17">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5688</v>
      </c>
    </row>
    <row r="4074" spans="1:27" ht="52">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5688</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5688</v>
      </c>
    </row>
    <row r="4076" spans="1:27" ht="26">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5313</v>
      </c>
      <c r="R4076" s="364"/>
      <c r="S4076" s="288"/>
      <c r="Z4076" s="609" t="s">
        <v>4025</v>
      </c>
      <c r="AA4076" s="609" t="s">
        <v>5688</v>
      </c>
    </row>
    <row r="4077" spans="1:27" ht="17">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5688</v>
      </c>
    </row>
    <row r="4078" spans="1:27" ht="17">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5688</v>
      </c>
    </row>
    <row r="4079" spans="1:27" ht="17">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5688</v>
      </c>
    </row>
    <row r="4080" spans="1:27" ht="17">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5688</v>
      </c>
    </row>
    <row r="4081" spans="1:27" ht="17">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5688</v>
      </c>
    </row>
    <row r="4082" spans="1:27" ht="1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5688</v>
      </c>
    </row>
    <row r="4083" spans="1:27" ht="17">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5688</v>
      </c>
    </row>
    <row r="4084" spans="1:27" ht="52">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5688</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5688</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5688</v>
      </c>
    </row>
    <row r="4087" spans="1:27" ht="16.5" customHeight="1">
      <c r="A4087" s="2714"/>
      <c r="B4087" s="371"/>
      <c r="C4087" s="371"/>
      <c r="D4087" s="371"/>
      <c r="E4087" s="2716" t="s">
        <v>2749</v>
      </c>
      <c r="F4087" s="294"/>
      <c r="G4087" s="3233" t="s">
        <v>1673</v>
      </c>
      <c r="H4087" s="3239" t="str">
        <f>$V$3</f>
        <v>2018年12月31日</v>
      </c>
      <c r="I4087" s="3240"/>
      <c r="J4087" s="3218" t="s">
        <v>3027</v>
      </c>
      <c r="K4087" s="3218"/>
      <c r="L4087" s="3218" t="s">
        <v>3028</v>
      </c>
      <c r="M4087" s="3218"/>
      <c r="N4087" s="3239" t="str">
        <f>$V$2</f>
        <v>2019年12月31日</v>
      </c>
      <c r="O4087" s="3273"/>
      <c r="P4087" s="355" t="s">
        <v>5313</v>
      </c>
      <c r="S4087" s="364"/>
      <c r="Z4087" s="609" t="s">
        <v>4025</v>
      </c>
      <c r="AA4087" s="609" t="s">
        <v>5688</v>
      </c>
    </row>
    <row r="4088" spans="1:27" ht="17">
      <c r="A4088" s="2714"/>
      <c r="B4088" s="371"/>
      <c r="C4088" s="371"/>
      <c r="D4088" s="371"/>
      <c r="E4088" s="2716" t="s">
        <v>2749</v>
      </c>
      <c r="F4088" s="294"/>
      <c r="G4088" s="3234"/>
      <c r="H4088" s="502" t="s">
        <v>4043</v>
      </c>
      <c r="I4088" s="502" t="s">
        <v>2863</v>
      </c>
      <c r="J4088" s="502" t="s">
        <v>4043</v>
      </c>
      <c r="K4088" s="502" t="s">
        <v>2863</v>
      </c>
      <c r="L4088" s="502" t="s">
        <v>4043</v>
      </c>
      <c r="M4088" s="502" t="s">
        <v>2863</v>
      </c>
      <c r="N4088" s="502" t="s">
        <v>4043</v>
      </c>
      <c r="O4088" s="508" t="s">
        <v>2863</v>
      </c>
      <c r="S4088" s="364"/>
      <c r="Z4088" s="609" t="s">
        <v>4025</v>
      </c>
      <c r="AA4088" s="609" t="s">
        <v>5688</v>
      </c>
    </row>
    <row r="4089" spans="1:27" ht="17">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5688</v>
      </c>
    </row>
    <row r="4090" spans="1:27" ht="17">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5688</v>
      </c>
    </row>
    <row r="4091" spans="1:27" ht="17">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5688</v>
      </c>
    </row>
    <row r="4092" spans="1:27" ht="17">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5688</v>
      </c>
    </row>
    <row r="4093" spans="1:27" ht="17">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5688</v>
      </c>
    </row>
    <row r="4094" spans="1:27" ht="1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5688</v>
      </c>
    </row>
    <row r="4095" spans="1:27" ht="17">
      <c r="A4095" s="2714"/>
      <c r="B4095" s="371"/>
      <c r="C4095" s="371" t="s">
        <v>2755</v>
      </c>
      <c r="D4095" s="371"/>
      <c r="F4095" s="294"/>
      <c r="G4095" s="301"/>
      <c r="H4095" s="349"/>
      <c r="I4095" s="349"/>
      <c r="J4095" s="349"/>
      <c r="K4095" s="349"/>
      <c r="L4095" s="349"/>
      <c r="M4095" s="349"/>
      <c r="N4095" s="349"/>
      <c r="O4095" s="349"/>
      <c r="S4095" s="364"/>
      <c r="Z4095" s="609" t="s">
        <v>4025</v>
      </c>
      <c r="AA4095" s="609" t="s">
        <v>5688</v>
      </c>
    </row>
    <row r="4096" spans="1:27" ht="17">
      <c r="A4096" s="2714" t="s">
        <v>5590</v>
      </c>
      <c r="B4096" s="371">
        <v>5</v>
      </c>
      <c r="C4096" s="371"/>
      <c r="D4096" s="2716" t="str">
        <f>VLOOKUP($A4096,Sheet_NoteList,2,0)</f>
        <v>外币应付债券</v>
      </c>
      <c r="E4096" s="2716" t="s">
        <v>6533</v>
      </c>
      <c r="F4096" s="293"/>
      <c r="G4096" s="372" t="str">
        <f>"("&amp;B4096&amp;")"&amp;D4096</f>
        <v>(5)外币应付债券</v>
      </c>
      <c r="H4096" s="1517" t="str">
        <f>$A4096</f>
        <v>2502e</v>
      </c>
      <c r="I4096" s="343" t="s">
        <v>5597</v>
      </c>
      <c r="J4096" s="301" t="s">
        <v>5598</v>
      </c>
      <c r="K4096" s="2210">
        <f>H4104</f>
        <v>0</v>
      </c>
      <c r="L4096" s="349" t="str">
        <f>IF($I4096="适用",IF(ROUND(K$4050-K4096,2)=0,"F/S",ROUND(K$4050-K4096,2)),"#N/A")</f>
        <v>F/S</v>
      </c>
      <c r="M4096" s="301" t="s">
        <v>5599</v>
      </c>
      <c r="N4096" s="2210">
        <f>I4104</f>
        <v>0</v>
      </c>
      <c r="O4096" s="349" t="str">
        <f>IF($I4096="适用",IF(ROUND(N$4050-N4096,2)=0,"F/S",ROUND(N$4050-N4096,2)),"#N/A")</f>
        <v>F/S</v>
      </c>
      <c r="P4096" s="301"/>
      <c r="S4096" s="364"/>
      <c r="Z4096" s="609" t="s">
        <v>4025</v>
      </c>
      <c r="AA4096" s="609" t="s">
        <v>5688</v>
      </c>
    </row>
    <row r="4097" spans="1:29" ht="0.75" customHeight="1" thickBot="1">
      <c r="A4097" s="2714"/>
      <c r="B4097" s="371"/>
      <c r="C4097" s="371"/>
      <c r="D4097" s="2716"/>
      <c r="F4097" s="371"/>
      <c r="G4097" s="405" t="s">
        <v>5600</v>
      </c>
      <c r="H4097" s="371" t="s">
        <v>3073</v>
      </c>
      <c r="I4097" s="371" t="s">
        <v>3074</v>
      </c>
      <c r="J4097" s="371" t="s">
        <v>3075</v>
      </c>
      <c r="K4097" s="387"/>
      <c r="L4097" s="349"/>
      <c r="M4097" s="301"/>
      <c r="N4097" s="391"/>
      <c r="O4097" s="349"/>
      <c r="P4097" s="301"/>
      <c r="S4097" s="364"/>
      <c r="Z4097" s="609" t="s">
        <v>4025</v>
      </c>
      <c r="AA4097" s="609" t="s">
        <v>5688</v>
      </c>
    </row>
    <row r="4098" spans="1:29" ht="26">
      <c r="A4098" s="2714"/>
      <c r="B4098" s="371"/>
      <c r="C4098" s="371"/>
      <c r="D4098" s="2716"/>
      <c r="E4098" s="2716" t="s">
        <v>2749</v>
      </c>
      <c r="F4098" s="293"/>
      <c r="G4098" s="1635" t="s">
        <v>47</v>
      </c>
      <c r="H4098" s="1631" t="s">
        <v>3076</v>
      </c>
      <c r="I4098" s="1631" t="s">
        <v>3077</v>
      </c>
      <c r="J4098" s="1632" t="s">
        <v>3078</v>
      </c>
      <c r="K4098" s="355" t="s">
        <v>5605</v>
      </c>
      <c r="L4098" s="349"/>
      <c r="M4098" s="301"/>
      <c r="N4098" s="391"/>
      <c r="O4098" s="349"/>
      <c r="P4098" s="301"/>
      <c r="S4098" s="364"/>
      <c r="Z4098" s="609" t="s">
        <v>4025</v>
      </c>
      <c r="AA4098" s="609" t="s">
        <v>5688</v>
      </c>
    </row>
    <row r="4099" spans="1:29" ht="17">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5365</v>
      </c>
      <c r="L4099" s="1522" t="s">
        <v>5366</v>
      </c>
      <c r="M4099" s="301"/>
      <c r="N4099" s="391"/>
      <c r="O4099" s="349"/>
      <c r="P4099" s="301"/>
      <c r="S4099" s="364"/>
      <c r="Z4099" s="609" t="s">
        <v>4025</v>
      </c>
      <c r="AA4099" s="609" t="s">
        <v>5688</v>
      </c>
    </row>
    <row r="4100" spans="1:29" ht="17">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5688</v>
      </c>
    </row>
    <row r="4101" spans="1:29" ht="17">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5688</v>
      </c>
    </row>
    <row r="4102" spans="1:29" ht="17">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5688</v>
      </c>
    </row>
    <row r="4103" spans="1:29" ht="17">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5688</v>
      </c>
    </row>
    <row r="4104" spans="1:29" ht="1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5688</v>
      </c>
    </row>
    <row r="4105" spans="1:29" ht="17">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5688</v>
      </c>
    </row>
    <row r="4106" spans="1:29" ht="26">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7">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26">
      <c r="A4109" s="2714"/>
      <c r="B4109" s="371"/>
      <c r="C4109" s="371"/>
      <c r="D4109" s="2716"/>
      <c r="E4109" s="2716" t="s">
        <v>2749</v>
      </c>
      <c r="F4109" s="371"/>
      <c r="G4109" s="373" t="s">
        <v>47</v>
      </c>
      <c r="H4109" s="1454" t="str">
        <f>$V$2</f>
        <v>2019年12月31日</v>
      </c>
      <c r="I4109" s="1455" t="str">
        <f>$V$3</f>
        <v>2018年12月31日</v>
      </c>
      <c r="J4109" s="355" t="s">
        <v>5314</v>
      </c>
      <c r="K4109" s="391"/>
      <c r="L4109" s="391"/>
      <c r="M4109" s="391"/>
      <c r="N4109" s="391"/>
      <c r="O4109" s="349"/>
      <c r="P4109" s="301"/>
      <c r="S4109" s="364"/>
      <c r="Z4109" s="609" t="s">
        <v>4062</v>
      </c>
      <c r="AA4109" s="609" t="s">
        <v>19</v>
      </c>
    </row>
    <row r="4110" spans="1:29" ht="17">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6575</v>
      </c>
    </row>
    <row r="4111" spans="1:29" ht="17">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7">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7">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6">
      <c r="A4114" s="2714"/>
      <c r="B4114" s="371">
        <v>103</v>
      </c>
      <c r="C4114" s="371" t="s">
        <v>2791</v>
      </c>
      <c r="D4114" s="2716">
        <f t="shared" si="459"/>
        <v>1</v>
      </c>
      <c r="E4114" s="2721">
        <v>-1</v>
      </c>
      <c r="F4114" s="371"/>
      <c r="G4114" s="2568" t="s">
        <v>6144</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6575</v>
      </c>
    </row>
    <row r="4115" spans="1:29" ht="1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7">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7">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5690</v>
      </c>
    </row>
    <row r="4118" spans="1:29" ht="26">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5690</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5690</v>
      </c>
    </row>
    <row r="4120" spans="1:29" ht="26">
      <c r="A4120" s="2714"/>
      <c r="B4120" s="371"/>
      <c r="C4120" s="371"/>
      <c r="D4120" s="371"/>
      <c r="E4120" s="586" t="s">
        <v>2749</v>
      </c>
      <c r="F4120" s="363"/>
      <c r="G4120" s="2408" t="s">
        <v>47</v>
      </c>
      <c r="H4120" s="2225" t="str">
        <f>$V$2</f>
        <v>2019年12月31日</v>
      </c>
      <c r="I4120" s="2226" t="str">
        <f>$V$3</f>
        <v>2018年12月31日</v>
      </c>
      <c r="J4120" s="355" t="s">
        <v>5314</v>
      </c>
      <c r="N4120" s="291"/>
      <c r="O4120" s="291"/>
      <c r="P4120" s="291"/>
      <c r="Q4120" s="367"/>
      <c r="R4120" s="367"/>
      <c r="S4120" s="364"/>
      <c r="Z4120" s="609" t="s">
        <v>4064</v>
      </c>
      <c r="AA4120" s="609" t="s">
        <v>5690</v>
      </c>
    </row>
    <row r="4121" spans="1:29" ht="17">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5690</v>
      </c>
    </row>
    <row r="4122" spans="1:29" ht="17">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5690</v>
      </c>
    </row>
    <row r="4123" spans="1:29" ht="17">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5690</v>
      </c>
    </row>
    <row r="4124" spans="1:29" ht="17">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5690</v>
      </c>
    </row>
    <row r="4125" spans="1:29" ht="17">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5690</v>
      </c>
      <c r="AC4125" s="369" t="s">
        <v>6575</v>
      </c>
    </row>
    <row r="4126" spans="1:29" ht="17">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5690</v>
      </c>
    </row>
    <row r="4127" spans="1:29" ht="1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5690</v>
      </c>
    </row>
    <row r="4128" spans="1:29" ht="1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5690</v>
      </c>
    </row>
    <row r="4129" spans="1:27" ht="17.5" thickTop="1">
      <c r="A4129" s="2714"/>
      <c r="B4129" s="371"/>
      <c r="C4129" s="371" t="s">
        <v>2565</v>
      </c>
      <c r="D4129" s="371"/>
      <c r="F4129" s="294"/>
      <c r="G4129" s="1561" t="s">
        <v>5368</v>
      </c>
      <c r="H4129" s="1550" t="str">
        <f>G4107</f>
        <v>(1)长期应付款分类列示</v>
      </c>
      <c r="I4129" s="1552"/>
      <c r="J4129" s="1553" t="s">
        <v>5369</v>
      </c>
      <c r="K4129" s="349"/>
      <c r="L4129" s="315"/>
      <c r="M4129" s="393"/>
      <c r="N4129" s="291"/>
      <c r="O4129" s="291"/>
      <c r="P4129" s="291"/>
      <c r="Q4129" s="367"/>
      <c r="R4129" s="367"/>
      <c r="S4129" s="364"/>
      <c r="Z4129" s="609" t="s">
        <v>4064</v>
      </c>
      <c r="AA4129" s="609" t="s">
        <v>5690</v>
      </c>
    </row>
    <row r="4130" spans="1:27" ht="17">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5690</v>
      </c>
    </row>
    <row r="4131" spans="1:27" ht="17">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5690</v>
      </c>
    </row>
    <row r="4132" spans="1:27" ht="1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5690</v>
      </c>
    </row>
    <row r="4133" spans="1:27" ht="1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5690</v>
      </c>
    </row>
    <row r="4134" spans="1:27" ht="17">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5690</v>
      </c>
    </row>
    <row r="4135" spans="1:27" ht="17">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5690</v>
      </c>
    </row>
    <row r="4136" spans="1:27" ht="17">
      <c r="A4136" s="2714" t="s">
        <v>1692</v>
      </c>
      <c r="B4136" s="371">
        <v>2</v>
      </c>
      <c r="C4136" s="371"/>
      <c r="D4136" s="2716" t="str">
        <f>VLOOKUP($A4136,Sheet_NoteList,2,0)</f>
        <v>外币长期应付款</v>
      </c>
      <c r="E4136" s="2716" t="s">
        <v>6535</v>
      </c>
      <c r="F4136" s="294"/>
      <c r="G4136" s="307" t="str">
        <f>"("&amp;B4136&amp;")"&amp;D4136</f>
        <v>(2)外币长期应付款</v>
      </c>
      <c r="H4136" s="1517" t="str">
        <f>$A4136</f>
        <v>2701d</v>
      </c>
      <c r="I4136" s="343" t="s">
        <v>5585</v>
      </c>
      <c r="J4136" s="301" t="s">
        <v>5584</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5690</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5690</v>
      </c>
    </row>
    <row r="4138" spans="1:27" ht="26">
      <c r="A4138" s="2714"/>
      <c r="B4138" s="371"/>
      <c r="C4138" s="371"/>
      <c r="D4138" s="371"/>
      <c r="E4138" s="2716" t="s">
        <v>2749</v>
      </c>
      <c r="F4138" s="294"/>
      <c r="G4138" s="1629" t="s">
        <v>1371</v>
      </c>
      <c r="H4138" s="1627" t="s">
        <v>3076</v>
      </c>
      <c r="I4138" s="1627" t="s">
        <v>3077</v>
      </c>
      <c r="J4138" s="1628" t="s">
        <v>3078</v>
      </c>
      <c r="K4138" s="355" t="s">
        <v>5605</v>
      </c>
      <c r="L4138" s="291"/>
      <c r="M4138" s="291"/>
      <c r="N4138" s="291"/>
      <c r="O4138" s="291"/>
      <c r="P4138" s="291"/>
      <c r="Q4138" s="367"/>
      <c r="R4138" s="367"/>
      <c r="S4138" s="364"/>
      <c r="Z4138" s="609" t="s">
        <v>4064</v>
      </c>
      <c r="AA4138" s="609" t="s">
        <v>5690</v>
      </c>
    </row>
    <row r="4139" spans="1:27" ht="17">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5365</v>
      </c>
      <c r="L4139" s="1522" t="s">
        <v>5366</v>
      </c>
      <c r="M4139" s="291"/>
      <c r="N4139" s="291"/>
      <c r="O4139" s="291"/>
      <c r="P4139" s="291"/>
      <c r="Q4139" s="367"/>
      <c r="R4139" s="367"/>
      <c r="S4139" s="364"/>
      <c r="Z4139" s="609" t="s">
        <v>4064</v>
      </c>
      <c r="AA4139" s="609" t="s">
        <v>5690</v>
      </c>
    </row>
    <row r="4140" spans="1:27" ht="17">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5690</v>
      </c>
    </row>
    <row r="4141" spans="1:27" ht="17">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5690</v>
      </c>
    </row>
    <row r="4142" spans="1:27" ht="17">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5690</v>
      </c>
    </row>
    <row r="4143" spans="1:27" ht="17">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5690</v>
      </c>
    </row>
    <row r="4144" spans="1:27" ht="1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5690</v>
      </c>
    </row>
    <row r="4145" spans="1:27" ht="17">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5690</v>
      </c>
    </row>
    <row r="4146" spans="1:27" ht="17">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5691</v>
      </c>
    </row>
    <row r="4147" spans="1:27" ht="17">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5691</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5691</v>
      </c>
    </row>
    <row r="4149" spans="1:27" ht="26">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5314</v>
      </c>
      <c r="N4149" s="291"/>
      <c r="O4149" s="291"/>
      <c r="P4149" s="291"/>
      <c r="S4149" s="364"/>
      <c r="Z4149" s="609" t="s">
        <v>4068</v>
      </c>
      <c r="AA4149" s="609" t="s">
        <v>5691</v>
      </c>
    </row>
    <row r="4150" spans="1:27" ht="17">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5691</v>
      </c>
    </row>
    <row r="4151" spans="1:27" ht="17">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5691</v>
      </c>
    </row>
    <row r="4152" spans="1:27" ht="17">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5691</v>
      </c>
    </row>
    <row r="4153" spans="1:27" ht="17">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5691</v>
      </c>
    </row>
    <row r="4154" spans="1:27" ht="17">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5691</v>
      </c>
    </row>
    <row r="4155" spans="1:27" ht="1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5691</v>
      </c>
    </row>
    <row r="4156" spans="1:27" ht="17">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5691</v>
      </c>
    </row>
    <row r="4157" spans="1:27" ht="17">
      <c r="A4157" s="2714" t="s">
        <v>1702</v>
      </c>
      <c r="B4157" s="371">
        <v>2</v>
      </c>
      <c r="C4157" s="371"/>
      <c r="D4157" s="2716" t="str">
        <f>VLOOKUP($A4157,Sheet_NoteList,2,0)</f>
        <v>外币专项应付款</v>
      </c>
      <c r="E4157" s="2716" t="s">
        <v>6533</v>
      </c>
      <c r="F4157" s="294"/>
      <c r="G4157" s="307" t="str">
        <f>"("&amp;B4157&amp;")"&amp;D4157</f>
        <v>(2)外币专项应付款</v>
      </c>
      <c r="H4157" s="1517" t="str">
        <f>$A4157</f>
        <v>2711b</v>
      </c>
      <c r="I4157" s="343" t="s">
        <v>5585</v>
      </c>
      <c r="J4157" s="301" t="s">
        <v>5584</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5691</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5691</v>
      </c>
    </row>
    <row r="4159" spans="1:27" ht="26">
      <c r="A4159" s="2714"/>
      <c r="B4159" s="371"/>
      <c r="C4159" s="371"/>
      <c r="D4159" s="371"/>
      <c r="E4159" s="2716" t="s">
        <v>2749</v>
      </c>
      <c r="F4159" s="294"/>
      <c r="G4159" s="1629" t="s">
        <v>1371</v>
      </c>
      <c r="H4159" s="1627" t="s">
        <v>3076</v>
      </c>
      <c r="I4159" s="1627" t="s">
        <v>3077</v>
      </c>
      <c r="J4159" s="1628" t="s">
        <v>3078</v>
      </c>
      <c r="K4159" s="355" t="s">
        <v>5605</v>
      </c>
      <c r="L4159" s="291"/>
      <c r="M4159" s="291"/>
      <c r="N4159" s="291"/>
      <c r="O4159" s="291"/>
      <c r="P4159" s="291"/>
      <c r="Q4159" s="367"/>
      <c r="R4159" s="367"/>
      <c r="S4159" s="364"/>
      <c r="Z4159" s="609" t="s">
        <v>4068</v>
      </c>
      <c r="AA4159" s="609" t="s">
        <v>5691</v>
      </c>
    </row>
    <row r="4160" spans="1:27" ht="17">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5365</v>
      </c>
      <c r="L4160" s="1522" t="s">
        <v>5366</v>
      </c>
      <c r="M4160" s="291"/>
      <c r="N4160" s="291"/>
      <c r="O4160" s="291"/>
      <c r="P4160" s="291"/>
      <c r="Q4160" s="367"/>
      <c r="R4160" s="367"/>
      <c r="S4160" s="364"/>
      <c r="Z4160" s="609" t="s">
        <v>4068</v>
      </c>
      <c r="AA4160" s="609" t="s">
        <v>5691</v>
      </c>
    </row>
    <row r="4161" spans="1:27" ht="17">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5691</v>
      </c>
    </row>
    <row r="4162" spans="1:27" ht="17">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5691</v>
      </c>
    </row>
    <row r="4163" spans="1:27" ht="17">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5691</v>
      </c>
    </row>
    <row r="4164" spans="1:27" ht="17">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5691</v>
      </c>
    </row>
    <row r="4165" spans="1:27" ht="1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5691</v>
      </c>
    </row>
    <row r="4166" spans="1:27" ht="17">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5691</v>
      </c>
    </row>
    <row r="4167" spans="1:27" ht="17">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5692</v>
      </c>
    </row>
    <row r="4168" spans="1:27" ht="17">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5692</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5692</v>
      </c>
    </row>
    <row r="4170" spans="1:27" ht="26">
      <c r="A4170" s="2714"/>
      <c r="B4170" s="371"/>
      <c r="C4170" s="371"/>
      <c r="D4170" s="371"/>
      <c r="E4170" s="586" t="s">
        <v>2749</v>
      </c>
      <c r="F4170" s="363"/>
      <c r="G4170" s="2411" t="s">
        <v>47</v>
      </c>
      <c r="H4170" s="2225" t="str">
        <f>$V$2</f>
        <v>2019年12月31日</v>
      </c>
      <c r="I4170" s="2226" t="str">
        <f>$V$3</f>
        <v>2018年12月31日</v>
      </c>
      <c r="J4170" s="355" t="s">
        <v>5315</v>
      </c>
      <c r="N4170" s="291"/>
      <c r="O4170" s="291"/>
      <c r="P4170" s="291"/>
      <c r="Q4170" s="367"/>
      <c r="R4170" s="367"/>
      <c r="S4170" s="364"/>
      <c r="Z4170" s="609" t="s">
        <v>4073</v>
      </c>
      <c r="AA4170" s="609" t="s">
        <v>5692</v>
      </c>
    </row>
    <row r="4171" spans="1:27" ht="26">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5692</v>
      </c>
    </row>
    <row r="4172" spans="1:27" ht="17">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5692</v>
      </c>
    </row>
    <row r="4173" spans="1:27" ht="17">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5692</v>
      </c>
    </row>
    <row r="4174" spans="1:27" ht="17">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5692</v>
      </c>
    </row>
    <row r="4175" spans="1:27" ht="17">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5692</v>
      </c>
    </row>
    <row r="4176" spans="1:27" ht="1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5692</v>
      </c>
    </row>
    <row r="4177" spans="1:27" ht="17">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5692</v>
      </c>
    </row>
    <row r="4178" spans="1:27" ht="39">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5692</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5692</v>
      </c>
    </row>
    <row r="4180" spans="1:27" ht="17">
      <c r="A4180" s="2714"/>
      <c r="B4180" s="371"/>
      <c r="C4180" s="371"/>
      <c r="D4180" s="371"/>
      <c r="E4180" s="586" t="s">
        <v>2749</v>
      </c>
      <c r="F4180" s="363"/>
      <c r="G4180" s="2410" t="s">
        <v>47</v>
      </c>
      <c r="H4180" s="2232" t="str">
        <f>$V$4</f>
        <v>2019年度</v>
      </c>
      <c r="I4180" s="2233" t="str">
        <f>$V$5</f>
        <v>2018年度</v>
      </c>
      <c r="J4180" s="355" t="s">
        <v>5315</v>
      </c>
      <c r="K4180" s="291"/>
      <c r="L4180" s="291"/>
      <c r="M4180" s="291"/>
      <c r="S4180" s="364"/>
      <c r="Z4180" s="609" t="s">
        <v>4073</v>
      </c>
      <c r="AA4180" s="609" t="s">
        <v>5692</v>
      </c>
    </row>
    <row r="4181" spans="1:27" ht="17">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5692</v>
      </c>
    </row>
    <row r="4182" spans="1:27" ht="26">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5692</v>
      </c>
    </row>
    <row r="4183" spans="1:27" ht="17">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5692</v>
      </c>
    </row>
    <row r="4184" spans="1:27" ht="17">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5692</v>
      </c>
    </row>
    <row r="4185" spans="1:27" ht="26">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5692</v>
      </c>
    </row>
    <row r="4186" spans="1:27" ht="17">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5692</v>
      </c>
    </row>
    <row r="4187" spans="1:27" ht="17">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5692</v>
      </c>
    </row>
    <row r="4188" spans="1:27" ht="26">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5692</v>
      </c>
    </row>
    <row r="4189" spans="1:27" ht="26">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5692</v>
      </c>
    </row>
    <row r="4190" spans="1:27" ht="17">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5692</v>
      </c>
    </row>
    <row r="4191" spans="1:27" ht="17">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5692</v>
      </c>
    </row>
    <row r="4192" spans="1:27" ht="17">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5692</v>
      </c>
    </row>
    <row r="4193" spans="1:27" ht="17">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5692</v>
      </c>
    </row>
    <row r="4194" spans="1:27" ht="17">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5692</v>
      </c>
    </row>
    <row r="4195" spans="1:27" ht="17">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5692</v>
      </c>
    </row>
    <row r="4196" spans="1:27" ht="17.5" thickBot="1">
      <c r="A4196" s="2714"/>
      <c r="B4196" s="371"/>
      <c r="C4196" s="371"/>
      <c r="D4196" s="2716">
        <f t="shared" si="465"/>
        <v>1</v>
      </c>
      <c r="E4196" s="2721" t="s">
        <v>2751</v>
      </c>
      <c r="F4196" s="294"/>
      <c r="G4196" s="2234" t="s">
        <v>3478</v>
      </c>
      <c r="H4196" s="2430"/>
      <c r="I4196" s="2431"/>
      <c r="J4196" s="355" t="s">
        <v>6075</v>
      </c>
      <c r="K4196" s="291"/>
      <c r="L4196" s="291"/>
      <c r="M4196" s="291"/>
      <c r="S4196" s="364"/>
      <c r="Z4196" s="609" t="s">
        <v>4073</v>
      </c>
      <c r="AA4196" s="609" t="s">
        <v>5692</v>
      </c>
    </row>
    <row r="4197" spans="1:27" ht="17">
      <c r="A4197" s="2714"/>
      <c r="B4197" s="371"/>
      <c r="C4197" s="371" t="s">
        <v>2755</v>
      </c>
      <c r="D4197" s="371"/>
      <c r="F4197" s="294"/>
      <c r="G4197" s="557"/>
      <c r="H4197" s="315"/>
      <c r="I4197" s="315"/>
      <c r="J4197" s="291"/>
      <c r="K4197" s="291"/>
      <c r="L4197" s="291"/>
      <c r="M4197" s="291"/>
      <c r="S4197" s="364"/>
      <c r="Z4197" s="609" t="s">
        <v>4073</v>
      </c>
      <c r="AA4197" s="609" t="s">
        <v>5692</v>
      </c>
    </row>
    <row r="4198" spans="1:27" ht="26">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5692</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5692</v>
      </c>
    </row>
    <row r="4200" spans="1:27" ht="17">
      <c r="A4200" s="2714"/>
      <c r="B4200" s="371"/>
      <c r="C4200" s="371"/>
      <c r="D4200" s="371"/>
      <c r="E4200" s="586" t="s">
        <v>2749</v>
      </c>
      <c r="F4200" s="363"/>
      <c r="G4200" s="2410" t="s">
        <v>47</v>
      </c>
      <c r="H4200" s="2432" t="str">
        <f>$V$4</f>
        <v>2019年度</v>
      </c>
      <c r="I4200" s="2433" t="str">
        <f>$V$5</f>
        <v>2018年度</v>
      </c>
      <c r="J4200" s="355" t="s">
        <v>5315</v>
      </c>
      <c r="K4200" s="291"/>
      <c r="L4200" s="291"/>
      <c r="M4200" s="291"/>
      <c r="S4200" s="364"/>
      <c r="Z4200" s="609" t="s">
        <v>4073</v>
      </c>
      <c r="AA4200" s="609" t="s">
        <v>5692</v>
      </c>
    </row>
    <row r="4201" spans="1:27" ht="17">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5692</v>
      </c>
    </row>
    <row r="4202" spans="1:27" ht="26">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5692</v>
      </c>
    </row>
    <row r="4203" spans="1:27" ht="17">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5692</v>
      </c>
    </row>
    <row r="4204" spans="1:27" ht="17">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5692</v>
      </c>
    </row>
    <row r="4205" spans="1:27" ht="26">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5692</v>
      </c>
    </row>
    <row r="4206" spans="1:27" ht="26">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5692</v>
      </c>
    </row>
    <row r="4207" spans="1:27" ht="26">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5692</v>
      </c>
    </row>
    <row r="4208" spans="1:27" ht="17">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5692</v>
      </c>
    </row>
    <row r="4209" spans="1:27" ht="17">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5692</v>
      </c>
    </row>
    <row r="4210" spans="1:27" ht="17">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5692</v>
      </c>
    </row>
    <row r="4211" spans="1:27" ht="17.5" thickBot="1">
      <c r="A4211" s="2714"/>
      <c r="B4211" s="371"/>
      <c r="C4211" s="371"/>
      <c r="D4211" s="2716">
        <f t="shared" si="466"/>
        <v>1</v>
      </c>
      <c r="E4211" s="2721" t="s">
        <v>2751</v>
      </c>
      <c r="F4211" s="294"/>
      <c r="G4211" s="2234" t="s">
        <v>3478</v>
      </c>
      <c r="H4211" s="2308"/>
      <c r="I4211" s="2309"/>
      <c r="J4211" s="355" t="s">
        <v>6075</v>
      </c>
      <c r="K4211" s="291"/>
      <c r="L4211" s="291"/>
      <c r="M4211" s="291"/>
      <c r="S4211" s="364"/>
      <c r="Z4211" s="609" t="s">
        <v>4073</v>
      </c>
      <c r="AA4211" s="609" t="s">
        <v>5692</v>
      </c>
    </row>
    <row r="4212" spans="1:27" ht="17">
      <c r="A4212" s="2714"/>
      <c r="B4212" s="371"/>
      <c r="C4212" s="371" t="s">
        <v>2755</v>
      </c>
      <c r="D4212" s="371"/>
      <c r="F4212" s="294"/>
      <c r="G4212" s="557"/>
      <c r="H4212" s="315"/>
      <c r="I4212" s="315"/>
      <c r="J4212" s="291"/>
      <c r="K4212" s="291"/>
      <c r="L4212" s="291"/>
      <c r="M4212" s="291"/>
      <c r="S4212" s="364"/>
      <c r="Z4212" s="609" t="s">
        <v>4073</v>
      </c>
      <c r="AA4212" s="609" t="s">
        <v>5692</v>
      </c>
    </row>
    <row r="4213" spans="1:27" ht="26">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5692</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5692</v>
      </c>
    </row>
    <row r="4215" spans="1:27" ht="17">
      <c r="A4215" s="2714"/>
      <c r="B4215" s="371"/>
      <c r="C4215" s="371"/>
      <c r="D4215" s="371"/>
      <c r="E4215" s="586" t="s">
        <v>2749</v>
      </c>
      <c r="F4215" s="363"/>
      <c r="G4215" s="2410" t="s">
        <v>47</v>
      </c>
      <c r="H4215" s="2432" t="str">
        <f>$V$4</f>
        <v>2019年度</v>
      </c>
      <c r="I4215" s="2433" t="str">
        <f>$V$5</f>
        <v>2018年度</v>
      </c>
      <c r="J4215" s="355" t="s">
        <v>5315</v>
      </c>
      <c r="K4215" s="291"/>
      <c r="L4215" s="291"/>
      <c r="M4215" s="291"/>
      <c r="S4215" s="364"/>
      <c r="Z4215" s="609" t="s">
        <v>4073</v>
      </c>
      <c r="AA4215" s="609" t="s">
        <v>5692</v>
      </c>
    </row>
    <row r="4216" spans="1:27" ht="17">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5692</v>
      </c>
    </row>
    <row r="4217" spans="1:27" ht="26">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5692</v>
      </c>
    </row>
    <row r="4218" spans="1:27" ht="26">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5692</v>
      </c>
    </row>
    <row r="4219" spans="1:27" ht="17">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5692</v>
      </c>
    </row>
    <row r="4220" spans="1:27" ht="17.5" thickBot="1">
      <c r="A4220" s="2714"/>
      <c r="B4220" s="371"/>
      <c r="C4220" s="371"/>
      <c r="D4220" s="2716">
        <f>IF(OR(G4220="*",G4220="",G4220=0),0,COUNTIF($G$4216:$G$4220,G4220))</f>
        <v>1</v>
      </c>
      <c r="E4220" s="2721" t="s">
        <v>2751</v>
      </c>
      <c r="F4220" s="294"/>
      <c r="G4220" s="2234" t="s">
        <v>3478</v>
      </c>
      <c r="H4220" s="2308"/>
      <c r="I4220" s="2309"/>
      <c r="J4220" s="355" t="s">
        <v>6075</v>
      </c>
      <c r="K4220" s="291"/>
      <c r="L4220" s="291"/>
      <c r="M4220" s="291"/>
      <c r="S4220" s="364"/>
      <c r="Z4220" s="609" t="s">
        <v>4073</v>
      </c>
      <c r="AA4220" s="609" t="s">
        <v>5692</v>
      </c>
    </row>
    <row r="4221" spans="1:27" ht="17">
      <c r="A4221" s="2714"/>
      <c r="B4221" s="371"/>
      <c r="C4221" s="371" t="s">
        <v>2755</v>
      </c>
      <c r="D4221" s="371"/>
      <c r="F4221" s="294"/>
      <c r="G4221" s="557"/>
      <c r="H4221" s="315"/>
      <c r="I4221" s="315"/>
      <c r="J4221" s="291"/>
      <c r="K4221" s="291"/>
      <c r="L4221" s="291"/>
      <c r="M4221" s="291"/>
      <c r="S4221" s="364"/>
      <c r="Z4221" s="609" t="s">
        <v>4073</v>
      </c>
      <c r="AA4221" s="609" t="s">
        <v>5692</v>
      </c>
    </row>
    <row r="4222" spans="1:27" ht="26">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5692</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5692</v>
      </c>
    </row>
    <row r="4224" spans="1:27" ht="17">
      <c r="A4224" s="2714"/>
      <c r="B4224" s="371"/>
      <c r="C4224" s="371"/>
      <c r="D4224" s="371"/>
      <c r="E4224" s="586" t="s">
        <v>2749</v>
      </c>
      <c r="F4224" s="363"/>
      <c r="G4224" s="2410" t="s">
        <v>47</v>
      </c>
      <c r="H4224" s="2232" t="str">
        <f>$V$4</f>
        <v>2019年度</v>
      </c>
      <c r="I4224" s="2233" t="str">
        <f>$V$5</f>
        <v>2018年度</v>
      </c>
      <c r="J4224" s="355" t="s">
        <v>5315</v>
      </c>
      <c r="K4224" s="291"/>
      <c r="L4224" s="291"/>
      <c r="M4224" s="291"/>
      <c r="S4224" s="364"/>
      <c r="Z4224" s="609" t="s">
        <v>4073</v>
      </c>
      <c r="AA4224" s="609" t="s">
        <v>5692</v>
      </c>
    </row>
    <row r="4225" spans="1:27" ht="17">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5692</v>
      </c>
    </row>
    <row r="4226" spans="1:27" ht="17">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5692</v>
      </c>
    </row>
    <row r="4227" spans="1:27" ht="17">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5692</v>
      </c>
    </row>
    <row r="4228" spans="1:27" ht="17">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5692</v>
      </c>
    </row>
    <row r="4229" spans="1:27" ht="17">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5692</v>
      </c>
    </row>
    <row r="4230" spans="1:27" ht="17">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5692</v>
      </c>
    </row>
    <row r="4231" spans="1:27" ht="1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5692</v>
      </c>
    </row>
    <row r="4232" spans="1:27" ht="17">
      <c r="A4232" s="2714"/>
      <c r="B4232" s="371"/>
      <c r="C4232" s="371" t="s">
        <v>2755</v>
      </c>
      <c r="D4232" s="371"/>
      <c r="F4232" s="294"/>
      <c r="G4232" s="557"/>
      <c r="H4232" s="393"/>
      <c r="I4232" s="393"/>
      <c r="J4232" s="291"/>
      <c r="K4232" s="291"/>
      <c r="L4232" s="291"/>
      <c r="M4232" s="291"/>
      <c r="S4232" s="364"/>
      <c r="Z4232" s="609" t="s">
        <v>4073</v>
      </c>
      <c r="AA4232" s="609" t="s">
        <v>5692</v>
      </c>
    </row>
    <row r="4233" spans="1:27" ht="26">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5692</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5692</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5692</v>
      </c>
    </row>
    <row r="4236" spans="1:27" ht="24" customHeight="1">
      <c r="A4236" s="2714"/>
      <c r="B4236" s="371"/>
      <c r="C4236" s="371"/>
      <c r="D4236" s="371"/>
      <c r="E4236" s="586" t="s">
        <v>2749</v>
      </c>
      <c r="F4236" s="2343"/>
      <c r="G4236" s="3145" t="s">
        <v>47</v>
      </c>
      <c r="H4236" s="3149" t="s">
        <v>3494</v>
      </c>
      <c r="I4236" s="3149" t="s">
        <v>3495</v>
      </c>
      <c r="J4236" s="3177"/>
      <c r="K4236" s="355" t="s">
        <v>5315</v>
      </c>
      <c r="L4236" s="291"/>
      <c r="M4236" s="291"/>
      <c r="S4236" s="364"/>
      <c r="Z4236" s="609" t="s">
        <v>4073</v>
      </c>
      <c r="AA4236" s="609" t="s">
        <v>5692</v>
      </c>
    </row>
    <row r="4237" spans="1:27" ht="17">
      <c r="A4237" s="2714"/>
      <c r="B4237" s="371"/>
      <c r="C4237" s="371"/>
      <c r="D4237" s="371"/>
      <c r="E4237" s="586" t="s">
        <v>2749</v>
      </c>
      <c r="F4237" s="363"/>
      <c r="G4237" s="3146"/>
      <c r="H4237" s="3150"/>
      <c r="I4237" s="2415" t="s">
        <v>3496</v>
      </c>
      <c r="J4237" s="2417" t="s">
        <v>3497</v>
      </c>
      <c r="K4237" s="291"/>
      <c r="L4237" s="291"/>
      <c r="M4237" s="291"/>
      <c r="S4237" s="364"/>
      <c r="Z4237" s="609" t="s">
        <v>4073</v>
      </c>
      <c r="AA4237" s="609" t="s">
        <v>5692</v>
      </c>
    </row>
    <row r="4238" spans="1:27" ht="17">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5692</v>
      </c>
    </row>
    <row r="4239" spans="1:27" ht="17">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5692</v>
      </c>
    </row>
    <row r="4240" spans="1:27" ht="17">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5692</v>
      </c>
    </row>
    <row r="4241" spans="1:27" ht="17">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5692</v>
      </c>
    </row>
    <row r="4242" spans="1:27" ht="17">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5692</v>
      </c>
    </row>
    <row r="4243" spans="1:27" ht="17">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5692</v>
      </c>
    </row>
    <row r="4244" spans="1:27" ht="1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5692</v>
      </c>
    </row>
    <row r="4245" spans="1:27" ht="17">
      <c r="A4245" s="2714"/>
      <c r="B4245" s="371"/>
      <c r="C4245" s="371" t="s">
        <v>2755</v>
      </c>
      <c r="D4245" s="371"/>
      <c r="F4245" s="294"/>
      <c r="G4245" s="557"/>
      <c r="H4245" s="393"/>
      <c r="I4245" s="393"/>
      <c r="J4245" s="393"/>
      <c r="K4245" s="291"/>
      <c r="L4245" s="291"/>
      <c r="M4245" s="291"/>
      <c r="S4245" s="364"/>
      <c r="Z4245" s="609" t="s">
        <v>4073</v>
      </c>
      <c r="AA4245" s="609" t="s">
        <v>5692</v>
      </c>
    </row>
    <row r="4246" spans="1:27" ht="17">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5693</v>
      </c>
    </row>
    <row r="4247" spans="1:27" ht="17">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5693</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5693</v>
      </c>
    </row>
    <row r="4249" spans="1:27" ht="26">
      <c r="A4249" s="2714"/>
      <c r="B4249" s="371"/>
      <c r="C4249" s="371"/>
      <c r="D4249" s="371"/>
      <c r="E4249" s="2716" t="s">
        <v>2749</v>
      </c>
      <c r="F4249" s="294"/>
      <c r="G4249" s="410" t="s">
        <v>47</v>
      </c>
      <c r="H4249" s="1454" t="str">
        <f>$V$2</f>
        <v>2019年12月31日</v>
      </c>
      <c r="I4249" s="1454" t="str">
        <f>$V$3</f>
        <v>2018年12月31日</v>
      </c>
      <c r="J4249" s="411" t="s">
        <v>4071</v>
      </c>
      <c r="K4249" s="355" t="s">
        <v>5316</v>
      </c>
      <c r="L4249" s="291"/>
      <c r="M4249" s="291"/>
      <c r="N4249" s="291"/>
      <c r="O4249" s="291"/>
      <c r="S4249" s="364"/>
      <c r="Z4249" s="609" t="s">
        <v>4093</v>
      </c>
      <c r="AA4249" s="609" t="s">
        <v>5693</v>
      </c>
    </row>
    <row r="4250" spans="1:27" ht="17">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5693</v>
      </c>
    </row>
    <row r="4251" spans="1:27" ht="17">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5693</v>
      </c>
    </row>
    <row r="4252" spans="1:27" ht="17">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5693</v>
      </c>
    </row>
    <row r="4253" spans="1:27" ht="17">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5693</v>
      </c>
    </row>
    <row r="4254" spans="1:27" ht="17">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5693</v>
      </c>
    </row>
    <row r="4255" spans="1:27" ht="17">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5693</v>
      </c>
    </row>
    <row r="4256" spans="1:27" ht="17">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5693</v>
      </c>
    </row>
    <row r="4257" spans="1:32" ht="17">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5693</v>
      </c>
    </row>
    <row r="4258" spans="1:32" ht="1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5693</v>
      </c>
    </row>
    <row r="4259" spans="1:32" ht="17">
      <c r="A4259" s="2714"/>
      <c r="B4259" s="371"/>
      <c r="C4259" s="371" t="s">
        <v>2755</v>
      </c>
      <c r="D4259" s="371"/>
      <c r="F4259" s="294"/>
      <c r="G4259" s="301"/>
      <c r="H4259" s="315"/>
      <c r="I4259" s="315"/>
      <c r="J4259" s="393"/>
      <c r="K4259" s="349"/>
      <c r="L4259" s="291"/>
      <c r="M4259" s="291"/>
      <c r="N4259" s="291"/>
      <c r="O4259" s="291"/>
      <c r="S4259" s="364"/>
      <c r="Z4259" s="609" t="s">
        <v>4093</v>
      </c>
      <c r="AA4259" s="609" t="s">
        <v>5693</v>
      </c>
    </row>
    <row r="4260" spans="1:32" ht="17">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5694</v>
      </c>
    </row>
    <row r="4261" spans="1:32" ht="17">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5694</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5694</v>
      </c>
    </row>
    <row r="4263" spans="1:32" ht="26">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5317</v>
      </c>
      <c r="N4263" s="291"/>
      <c r="O4263" s="291"/>
      <c r="S4263" s="364"/>
      <c r="Z4263" s="609" t="s">
        <v>4101</v>
      </c>
      <c r="AA4263" s="609" t="s">
        <v>5694</v>
      </c>
    </row>
    <row r="4264" spans="1:32" ht="17">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5694</v>
      </c>
      <c r="AC4264" s="369" t="s">
        <v>6575</v>
      </c>
    </row>
    <row r="4265" spans="1:32" ht="17">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5694</v>
      </c>
    </row>
    <row r="4266" spans="1:32" ht="17">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5694</v>
      </c>
    </row>
    <row r="4267" spans="1:32" ht="1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5694</v>
      </c>
    </row>
    <row r="4268" spans="1:32" ht="17">
      <c r="A4268" s="2714"/>
      <c r="B4268" s="371"/>
      <c r="C4268" s="371" t="s">
        <v>2755</v>
      </c>
      <c r="D4268" s="371"/>
      <c r="F4268" s="294"/>
      <c r="G4268" s="301"/>
      <c r="H4268" s="315"/>
      <c r="I4268" s="315"/>
      <c r="J4268" s="315"/>
      <c r="K4268" s="315"/>
      <c r="L4268" s="393"/>
      <c r="M4268" s="291"/>
      <c r="N4268" s="291"/>
      <c r="O4268" s="291"/>
      <c r="S4268" s="364"/>
      <c r="Z4268" s="609" t="s">
        <v>4101</v>
      </c>
      <c r="AA4268" s="609" t="s">
        <v>5694</v>
      </c>
    </row>
    <row r="4269" spans="1:32" ht="26">
      <c r="A4269" s="2714" t="s">
        <v>1756</v>
      </c>
      <c r="B4269" s="371">
        <v>2</v>
      </c>
      <c r="C4269" s="371"/>
      <c r="D4269" s="2716" t="str">
        <f>VLOOKUP($A4269,Sheet_NoteList,2,0)</f>
        <v>递延收益（涉及政府补助的项目）</v>
      </c>
      <c r="E4269" s="2716" t="s">
        <v>6533</v>
      </c>
      <c r="F4269" s="294"/>
      <c r="G4269" s="372" t="str">
        <f>"("&amp;B4269&amp;")"&amp;D4269</f>
        <v>(2)递延收益（涉及政府补助的项目）</v>
      </c>
      <c r="H4269" s="1517" t="str">
        <f>$A4269</f>
        <v>2401b</v>
      </c>
      <c r="I4269" s="343" t="s">
        <v>5254</v>
      </c>
      <c r="J4269" s="301"/>
      <c r="K4269" s="391"/>
      <c r="L4269" s="345"/>
      <c r="M4269" s="301"/>
      <c r="N4269" s="391"/>
      <c r="O4269" s="345"/>
      <c r="P4269" s="301"/>
      <c r="Q4269" s="290" t="str">
        <f>IF($I4269="不适用","",IF(ROUND(SUM($H$4272:$N$4277),2)=0,"请输入",""))</f>
        <v>请输入</v>
      </c>
      <c r="S4269" s="364"/>
      <c r="Z4269" s="609" t="s">
        <v>4101</v>
      </c>
      <c r="AA4269" s="609" t="s">
        <v>5694</v>
      </c>
    </row>
    <row r="4270" spans="1:32" ht="0.75" customHeight="1" thickBot="1">
      <c r="A4270" s="2714"/>
      <c r="B4270" s="371"/>
      <c r="C4270" s="371"/>
      <c r="D4270" s="371"/>
      <c r="E4270" s="586"/>
      <c r="F4270" s="586"/>
      <c r="G4270" s="586" t="s">
        <v>4103</v>
      </c>
      <c r="H4270" s="371" t="s">
        <v>6292</v>
      </c>
      <c r="I4270" s="371" t="s">
        <v>6293</v>
      </c>
      <c r="J4270" s="371" t="s">
        <v>6294</v>
      </c>
      <c r="K4270" s="371" t="s">
        <v>6295</v>
      </c>
      <c r="L4270" s="371" t="s">
        <v>6296</v>
      </c>
      <c r="M4270" s="371" t="s">
        <v>6297</v>
      </c>
      <c r="N4270" s="371" t="s">
        <v>6298</v>
      </c>
      <c r="O4270" s="1604"/>
      <c r="P4270" s="1604"/>
      <c r="Q4270" s="442"/>
      <c r="R4270" s="364"/>
      <c r="Z4270" s="609" t="s">
        <v>4101</v>
      </c>
      <c r="AA4270" s="609" t="s">
        <v>5694</v>
      </c>
    </row>
    <row r="4271" spans="1:32" ht="39">
      <c r="A4271" s="2714"/>
      <c r="B4271" s="371"/>
      <c r="C4271" s="371"/>
      <c r="D4271" s="371"/>
      <c r="E4271" s="586" t="s">
        <v>2749</v>
      </c>
      <c r="F4271" s="363"/>
      <c r="G4271" s="2529" t="s">
        <v>6076</v>
      </c>
      <c r="H4271" s="2532" t="str">
        <f>$V$3</f>
        <v>2018年12月31日</v>
      </c>
      <c r="I4271" s="2526" t="s">
        <v>4010</v>
      </c>
      <c r="J4271" s="2526" t="s">
        <v>4011</v>
      </c>
      <c r="K4271" s="2526" t="s">
        <v>4104</v>
      </c>
      <c r="L4271" s="2526" t="s">
        <v>4012</v>
      </c>
      <c r="M4271" s="2532" t="str">
        <f>$V$2</f>
        <v>2019年12月31日</v>
      </c>
      <c r="N4271" s="2525" t="s">
        <v>5238</v>
      </c>
      <c r="O4271" s="2672" t="s">
        <v>5317</v>
      </c>
      <c r="P4271" s="1604"/>
      <c r="Q4271" s="1604"/>
      <c r="S4271" s="364"/>
      <c r="Z4271" s="609" t="s">
        <v>4101</v>
      </c>
      <c r="AA4271" s="609" t="s">
        <v>5694</v>
      </c>
      <c r="AF4271" s="369" t="s">
        <v>2761</v>
      </c>
    </row>
    <row r="4272" spans="1:32" ht="17">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6363</v>
      </c>
      <c r="P4272" s="2673" t="s">
        <v>6364</v>
      </c>
      <c r="Q4272" s="1604"/>
      <c r="S4272" s="364"/>
      <c r="Z4272" s="609" t="s">
        <v>4101</v>
      </c>
      <c r="AA4272" s="609" t="s">
        <v>5694</v>
      </c>
      <c r="AF4272" s="369" t="s">
        <v>2761</v>
      </c>
    </row>
    <row r="4273" spans="1:32" ht="17">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6365</v>
      </c>
      <c r="Q4273" s="1604"/>
      <c r="S4273" s="364"/>
      <c r="Z4273" s="609" t="s">
        <v>4101</v>
      </c>
      <c r="AA4273" s="609" t="s">
        <v>5694</v>
      </c>
      <c r="AF4273" s="369" t="s">
        <v>2761</v>
      </c>
    </row>
    <row r="4274" spans="1:32" ht="17">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5694</v>
      </c>
      <c r="AF4274" s="369" t="s">
        <v>2761</v>
      </c>
    </row>
    <row r="4275" spans="1:32" ht="17">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5694</v>
      </c>
      <c r="AF4275" s="369" t="s">
        <v>2761</v>
      </c>
    </row>
    <row r="4276" spans="1:32" ht="17">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5694</v>
      </c>
      <c r="AF4276" s="369" t="s">
        <v>2761</v>
      </c>
    </row>
    <row r="4277" spans="1:32" ht="1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5694</v>
      </c>
      <c r="AC4277" s="369" t="s">
        <v>2794</v>
      </c>
      <c r="AF4277" s="369" t="s">
        <v>2761</v>
      </c>
    </row>
    <row r="4278" spans="1:32" ht="1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5694</v>
      </c>
    </row>
    <row r="4279" spans="1:32" ht="17.5" thickTop="1">
      <c r="A4279" s="2714"/>
      <c r="B4279" s="371"/>
      <c r="C4279" s="371" t="s">
        <v>2565</v>
      </c>
      <c r="D4279" s="371"/>
      <c r="F4279" s="294"/>
      <c r="G4279" s="1561" t="s">
        <v>5368</v>
      </c>
      <c r="H4279" s="1550" t="str">
        <f>G4261</f>
        <v>(1)递延收益情况</v>
      </c>
      <c r="I4279" s="1551"/>
      <c r="J4279" s="1551"/>
      <c r="K4279" s="1551"/>
      <c r="L4279" s="1551"/>
      <c r="M4279" s="1552"/>
      <c r="N4279" s="1551"/>
      <c r="O4279" s="1553" t="s">
        <v>5369</v>
      </c>
      <c r="S4279" s="364"/>
      <c r="Z4279" s="609" t="s">
        <v>4101</v>
      </c>
      <c r="AA4279" s="609" t="s">
        <v>5694</v>
      </c>
    </row>
    <row r="4280" spans="1:32" ht="17">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5694</v>
      </c>
    </row>
    <row r="4281" spans="1:32" ht="17">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5694</v>
      </c>
    </row>
    <row r="4282" spans="1:32" ht="1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5694</v>
      </c>
    </row>
    <row r="4283" spans="1:32" ht="1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5694</v>
      </c>
    </row>
    <row r="4284" spans="1:32" ht="17">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5694</v>
      </c>
    </row>
    <row r="4285" spans="1:32" ht="17">
      <c r="A4285" s="2714"/>
      <c r="B4285" s="371"/>
      <c r="C4285" s="371" t="s">
        <v>2565</v>
      </c>
      <c r="D4285" s="371"/>
      <c r="F4285" s="294"/>
      <c r="G4285" s="354"/>
      <c r="H4285" s="461"/>
      <c r="I4285" s="317"/>
      <c r="J4285" s="317"/>
      <c r="K4285" s="317"/>
      <c r="L4285" s="317"/>
      <c r="M4285" s="461"/>
      <c r="N4285" s="317"/>
      <c r="O4285" s="354"/>
      <c r="S4285" s="364"/>
      <c r="Z4285" s="609" t="s">
        <v>4101</v>
      </c>
      <c r="AA4285" s="609" t="s">
        <v>5694</v>
      </c>
    </row>
    <row r="4286" spans="1:32" ht="17">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5696</v>
      </c>
    </row>
    <row r="4287" spans="1:32" ht="26">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5696</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5696</v>
      </c>
    </row>
    <row r="4289" spans="1:27" ht="26">
      <c r="A4289" s="2714"/>
      <c r="B4289" s="371"/>
      <c r="C4289" s="371"/>
      <c r="D4289" s="371"/>
      <c r="E4289" s="586" t="s">
        <v>2749</v>
      </c>
      <c r="F4289" s="363"/>
      <c r="G4289" s="2411" t="s">
        <v>47</v>
      </c>
      <c r="H4289" s="2225" t="str">
        <f>$V$2</f>
        <v>2019年12月31日</v>
      </c>
      <c r="I4289" s="2226" t="str">
        <f>$V$3</f>
        <v>2018年12月31日</v>
      </c>
      <c r="J4289" s="355" t="s">
        <v>5318</v>
      </c>
      <c r="K4289" s="291"/>
      <c r="L4289" s="291"/>
      <c r="M4289" s="291"/>
      <c r="S4289" s="364"/>
      <c r="Z4289" s="609" t="s">
        <v>4105</v>
      </c>
      <c r="AA4289" s="609" t="s">
        <v>5696</v>
      </c>
    </row>
    <row r="4290" spans="1:27" ht="26">
      <c r="A4290" s="2714"/>
      <c r="B4290" s="371">
        <v>101</v>
      </c>
      <c r="C4290" s="371" t="s">
        <v>2791</v>
      </c>
      <c r="D4290" s="2716">
        <f t="shared" ref="D4290:D4295" si="473">IF(OR(G4290="*",G4290="",G4290=0),0,COUNTIF($G$4290:$G$4295,G4290))</f>
        <v>1</v>
      </c>
      <c r="E4290" s="2721">
        <v>1</v>
      </c>
      <c r="F4290" s="294"/>
      <c r="G4290" s="2568" t="s">
        <v>6077</v>
      </c>
      <c r="H4290" s="2275"/>
      <c r="I4290" s="2296"/>
      <c r="J4290" s="291"/>
      <c r="K4290" s="291"/>
      <c r="L4290" s="291"/>
      <c r="M4290" s="291"/>
      <c r="S4290" s="364"/>
      <c r="Z4290" s="609" t="s">
        <v>4105</v>
      </c>
      <c r="AA4290" s="609" t="s">
        <v>5696</v>
      </c>
    </row>
    <row r="4291" spans="1:27" ht="17">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5696</v>
      </c>
    </row>
    <row r="4292" spans="1:27" ht="17">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5696</v>
      </c>
    </row>
    <row r="4293" spans="1:27" ht="17">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5696</v>
      </c>
    </row>
    <row r="4294" spans="1:27" ht="17">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5696</v>
      </c>
    </row>
    <row r="4295" spans="1:27" ht="1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5696</v>
      </c>
    </row>
    <row r="4296" spans="1:27" ht="17">
      <c r="A4296" s="2714"/>
      <c r="B4296" s="371"/>
      <c r="C4296" s="371" t="s">
        <v>2755</v>
      </c>
      <c r="D4296" s="371"/>
      <c r="F4296" s="294"/>
      <c r="G4296" s="301"/>
      <c r="H4296" s="315"/>
      <c r="I4296" s="315"/>
      <c r="J4296" s="291"/>
      <c r="K4296" s="291"/>
      <c r="L4296" s="291"/>
      <c r="M4296" s="291"/>
      <c r="S4296" s="364"/>
      <c r="Z4296" s="609" t="s">
        <v>4105</v>
      </c>
      <c r="AA4296" s="609" t="s">
        <v>5696</v>
      </c>
    </row>
    <row r="4297" spans="1:27" ht="26">
      <c r="A4297" s="2714" t="s">
        <v>1766</v>
      </c>
      <c r="B4297" s="371">
        <v>2</v>
      </c>
      <c r="C4297" s="371"/>
      <c r="D4297" s="2716" t="str">
        <f>VLOOKUP($A4297,Sheet_NoteList,2,0)</f>
        <v>其他非流动负债补充资料</v>
      </c>
      <c r="E4297" s="2716" t="s">
        <v>6533</v>
      </c>
      <c r="F4297" s="294"/>
      <c r="G4297" s="372" t="str">
        <f>"("&amp;B4297&amp;")"&amp;D4297</f>
        <v>(2)其他非流动负债补充资料</v>
      </c>
      <c r="H4297" s="1517" t="str">
        <f>$A4297</f>
        <v>2996x</v>
      </c>
      <c r="I4297" s="343" t="s">
        <v>5966</v>
      </c>
      <c r="J4297" s="301" t="s">
        <v>5969</v>
      </c>
      <c r="K4297" s="2210">
        <f>K4305</f>
        <v>0</v>
      </c>
      <c r="L4297" s="345"/>
      <c r="M4297" s="301" t="s">
        <v>5965</v>
      </c>
      <c r="N4297" s="2210">
        <f>H4305</f>
        <v>0</v>
      </c>
      <c r="O4297" s="345"/>
      <c r="P4297" s="301"/>
      <c r="S4297" s="364"/>
      <c r="Z4297" s="609" t="s">
        <v>4105</v>
      </c>
      <c r="AA4297" s="609" t="s">
        <v>5696</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5696</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6142</v>
      </c>
      <c r="S4299" s="364"/>
      <c r="Z4299" s="609" t="s">
        <v>4105</v>
      </c>
      <c r="AA4299" s="609" t="s">
        <v>5696</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5696</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5696</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5696</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5696</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5696</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5696</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5696</v>
      </c>
    </row>
    <row r="4307" spans="1:27" ht="17">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0</v>
      </c>
      <c r="O4307" s="306"/>
      <c r="P4307" s="301"/>
      <c r="S4307" s="364"/>
      <c r="Z4307" s="609" t="s">
        <v>4108</v>
      </c>
      <c r="AA4307" s="609" t="s">
        <v>5697</v>
      </c>
    </row>
    <row r="4308" spans="1:27" ht="17">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4"/>
      <c r="L4308" s="315"/>
      <c r="M4308" s="301"/>
      <c r="N4308" s="3084"/>
      <c r="O4308" s="315"/>
      <c r="P4308" s="301"/>
      <c r="Q4308" s="290" t="str">
        <f>IF($I4308="不适用","",IF(ROUND(SUM($H$4313:$N$4315),2)=0,"请输入",""))</f>
        <v>请输入</v>
      </c>
      <c r="S4308" s="364"/>
      <c r="Z4308" s="609" t="s">
        <v>4108</v>
      </c>
      <c r="AA4308" s="609" t="s">
        <v>5697</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5697</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5697</v>
      </c>
    </row>
    <row r="4311" spans="1:27" ht="24" customHeight="1">
      <c r="A4311" s="2714"/>
      <c r="B4311" s="371"/>
      <c r="C4311" s="371"/>
      <c r="D4311" s="371"/>
      <c r="E4311" s="2716" t="s">
        <v>2749</v>
      </c>
      <c r="F4311" s="294"/>
      <c r="G4311" s="3237" t="s">
        <v>1776</v>
      </c>
      <c r="H4311" s="3241" t="str">
        <f>$V$3</f>
        <v>2018年12月31日</v>
      </c>
      <c r="I4311" s="3250" t="s">
        <v>6078</v>
      </c>
      <c r="J4311" s="3250"/>
      <c r="K4311" s="3250"/>
      <c r="L4311" s="3250"/>
      <c r="M4311" s="3250"/>
      <c r="N4311" s="3286" t="str">
        <f>$V$2</f>
        <v>2019年12月31日</v>
      </c>
      <c r="O4311" s="355" t="s">
        <v>5319</v>
      </c>
      <c r="P4311" s="367"/>
      <c r="S4311" s="364"/>
      <c r="T4311" s="291"/>
      <c r="Z4311" s="609" t="s">
        <v>4108</v>
      </c>
      <c r="AA4311" s="609" t="s">
        <v>5697</v>
      </c>
    </row>
    <row r="4312" spans="1:27" ht="17">
      <c r="A4312" s="2714"/>
      <c r="B4312" s="371"/>
      <c r="C4312" s="371"/>
      <c r="D4312" s="371"/>
      <c r="E4312" s="2716" t="s">
        <v>2749</v>
      </c>
      <c r="F4312" s="294"/>
      <c r="G4312" s="3238"/>
      <c r="H4312" s="3242"/>
      <c r="I4312" s="2601" t="s">
        <v>4124</v>
      </c>
      <c r="J4312" s="2601" t="s">
        <v>4125</v>
      </c>
      <c r="K4312" s="2601" t="s">
        <v>4126</v>
      </c>
      <c r="L4312" s="2601" t="s">
        <v>932</v>
      </c>
      <c r="M4312" s="2601" t="s">
        <v>2939</v>
      </c>
      <c r="N4312" s="3287"/>
      <c r="O4312" s="367"/>
      <c r="P4312" s="367"/>
      <c r="S4312" s="364"/>
      <c r="T4312" s="291"/>
      <c r="Z4312" s="609" t="s">
        <v>4108</v>
      </c>
      <c r="AA4312" s="609" t="s">
        <v>5697</v>
      </c>
    </row>
    <row r="4313" spans="1:27" ht="17">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5697</v>
      </c>
    </row>
    <row r="4314" spans="1:27" ht="17">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5697</v>
      </c>
    </row>
    <row r="4315" spans="1:27" ht="17.5" thickBot="1">
      <c r="A4315" s="2714"/>
      <c r="B4315" s="371"/>
      <c r="C4315" s="371"/>
      <c r="D4315" s="2716">
        <f>IF(OR(G4315="*",G4315="",G4315=0),0,COUNTIF($G$4313:$G$4315,G4315))</f>
        <v>0</v>
      </c>
      <c r="E4315" s="2721" t="s">
        <v>6569</v>
      </c>
      <c r="F4315" s="294"/>
      <c r="G4315" s="2429"/>
      <c r="H4315" s="2602"/>
      <c r="I4315" s="2602"/>
      <c r="J4315" s="2602"/>
      <c r="K4315" s="2602"/>
      <c r="L4315" s="2602"/>
      <c r="M4315" s="2602"/>
      <c r="N4315" s="2603"/>
      <c r="O4315" s="367"/>
      <c r="P4315" s="367"/>
      <c r="S4315" s="364"/>
      <c r="T4315" s="291"/>
      <c r="Z4315" s="609" t="s">
        <v>4108</v>
      </c>
      <c r="AA4315" s="609" t="s">
        <v>5697</v>
      </c>
    </row>
    <row r="4316" spans="1:27" ht="17">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5697</v>
      </c>
    </row>
    <row r="4317" spans="1:27" ht="17">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t="str">
        <f>IF($I4317="适用",IF(ROUND(N4307-N4317,2)=0,"F/S",ROUND(N4307-N4317,2)),"#N/A")</f>
        <v>F/S</v>
      </c>
      <c r="P4317" s="301"/>
      <c r="S4317" s="364"/>
      <c r="Z4317" s="609" t="s">
        <v>4108</v>
      </c>
      <c r="AA4317" s="609" t="s">
        <v>5697</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5697</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5697</v>
      </c>
    </row>
    <row r="4320" spans="1:27" ht="17">
      <c r="A4320" s="2714"/>
      <c r="B4320" s="371"/>
      <c r="C4320" s="371"/>
      <c r="D4320" s="371"/>
      <c r="E4320" s="586" t="s">
        <v>2749</v>
      </c>
      <c r="F4320" s="363"/>
      <c r="G4320" s="3159" t="s">
        <v>6079</v>
      </c>
      <c r="H4320" s="3168" t="s">
        <v>6082</v>
      </c>
      <c r="I4320" s="3168"/>
      <c r="J4320" s="3168" t="s">
        <v>6083</v>
      </c>
      <c r="K4320" s="3168"/>
      <c r="L4320" s="3252" t="s">
        <v>6084</v>
      </c>
      <c r="M4320" s="3255" t="s">
        <v>6085</v>
      </c>
      <c r="N4320" s="355" t="s">
        <v>6086</v>
      </c>
      <c r="S4320" s="364"/>
      <c r="Z4320" s="609" t="s">
        <v>4108</v>
      </c>
      <c r="AA4320" s="609" t="s">
        <v>5697</v>
      </c>
    </row>
    <row r="4321" spans="1:27" ht="17">
      <c r="A4321" s="2714"/>
      <c r="B4321" s="371"/>
      <c r="C4321" s="371"/>
      <c r="D4321" s="371"/>
      <c r="E4321" s="586" t="s">
        <v>2749</v>
      </c>
      <c r="F4321" s="363"/>
      <c r="G4321" s="3160"/>
      <c r="H4321" s="2426" t="s">
        <v>6081</v>
      </c>
      <c r="I4321" s="2438" t="s">
        <v>6080</v>
      </c>
      <c r="J4321" s="2426" t="s">
        <v>6081</v>
      </c>
      <c r="K4321" s="2438" t="s">
        <v>6080</v>
      </c>
      <c r="L4321" s="3253"/>
      <c r="M4321" s="3256"/>
      <c r="S4321" s="364"/>
      <c r="Z4321" s="609" t="s">
        <v>4108</v>
      </c>
      <c r="AA4321" s="609" t="s">
        <v>5697</v>
      </c>
    </row>
    <row r="4322" spans="1:27" ht="17">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5697</v>
      </c>
    </row>
    <row r="4323" spans="1:27" ht="17">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5697</v>
      </c>
    </row>
    <row r="4324" spans="1:27" ht="17">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5697</v>
      </c>
    </row>
    <row r="4325" spans="1:27" ht="17">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5697</v>
      </c>
    </row>
    <row r="4326" spans="1:27" ht="17">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5697</v>
      </c>
    </row>
    <row r="4327" spans="1:27" ht="1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5697</v>
      </c>
    </row>
    <row r="4328" spans="1:27" ht="17">
      <c r="A4328" s="2714"/>
      <c r="B4328" s="371"/>
      <c r="C4328" s="371" t="s">
        <v>2755</v>
      </c>
      <c r="D4328" s="371"/>
      <c r="F4328" s="294"/>
      <c r="G4328" s="301"/>
      <c r="H4328" s="393"/>
      <c r="I4328" s="315"/>
      <c r="J4328" s="393"/>
      <c r="K4328" s="315"/>
      <c r="L4328" s="315"/>
      <c r="M4328" s="315"/>
      <c r="S4328" s="364"/>
      <c r="Z4328" s="609" t="s">
        <v>4108</v>
      </c>
      <c r="AA4328" s="609" t="s">
        <v>5697</v>
      </c>
    </row>
    <row r="4329" spans="1:27" ht="17">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5698</v>
      </c>
    </row>
    <row r="4330" spans="1:27" ht="39">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5698</v>
      </c>
    </row>
    <row r="4331" spans="1:27" ht="0.75" customHeight="1" thickBot="1">
      <c r="A4331" s="2714"/>
      <c r="B4331" s="371"/>
      <c r="C4331" s="371"/>
      <c r="D4331" s="371"/>
      <c r="E4331" s="586"/>
      <c r="F4331" s="586"/>
      <c r="G4331" s="586" t="s">
        <v>4138</v>
      </c>
      <c r="H4331" s="371" t="s">
        <v>4031</v>
      </c>
      <c r="I4331" s="371" t="s">
        <v>6299</v>
      </c>
      <c r="J4331" s="371" t="s">
        <v>6300</v>
      </c>
      <c r="K4331" s="371" t="s">
        <v>6301</v>
      </c>
      <c r="L4331" s="371" t="s">
        <v>6302</v>
      </c>
      <c r="M4331" s="371" t="s">
        <v>6303</v>
      </c>
      <c r="N4331" s="371" t="s">
        <v>6304</v>
      </c>
      <c r="O4331" s="371" t="s">
        <v>6305</v>
      </c>
      <c r="P4331" s="612"/>
      <c r="Q4331" s="442"/>
      <c r="R4331" s="443"/>
      <c r="S4331" s="364"/>
      <c r="Z4331" s="609" t="s">
        <v>4137</v>
      </c>
      <c r="AA4331" s="609" t="s">
        <v>5698</v>
      </c>
    </row>
    <row r="4332" spans="1:27" ht="26">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5320</v>
      </c>
      <c r="Q4332" s="442"/>
      <c r="R4332" s="443"/>
      <c r="S4332" s="364"/>
      <c r="Z4332" s="609" t="s">
        <v>4137</v>
      </c>
      <c r="AA4332" s="609" t="s">
        <v>5698</v>
      </c>
    </row>
    <row r="4333" spans="1:27" ht="17">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5698</v>
      </c>
    </row>
    <row r="4334" spans="1:27" ht="17">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5698</v>
      </c>
    </row>
    <row r="4335" spans="1:27" ht="17">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5698</v>
      </c>
    </row>
    <row r="4336" spans="1:27" ht="17">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5698</v>
      </c>
    </row>
    <row r="4337" spans="1:27" ht="17">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5698</v>
      </c>
    </row>
    <row r="4338" spans="1:27" ht="1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5698</v>
      </c>
    </row>
    <row r="4339" spans="1:27" ht="17">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5698</v>
      </c>
    </row>
    <row r="4340" spans="1:27" ht="39">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5698</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5698</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5698</v>
      </c>
    </row>
    <row r="4343" spans="1:27" ht="16.5" customHeight="1">
      <c r="A4343" s="2714"/>
      <c r="B4343" s="371"/>
      <c r="C4343" s="371"/>
      <c r="D4343" s="371"/>
      <c r="E4343" s="586" t="s">
        <v>2749</v>
      </c>
      <c r="F4343" s="363"/>
      <c r="G4343" s="3170" t="s">
        <v>1673</v>
      </c>
      <c r="H4343" s="3231" t="str">
        <f>$V$3</f>
        <v>2018年12月31日</v>
      </c>
      <c r="I4343" s="3232"/>
      <c r="J4343" s="3202" t="s">
        <v>3027</v>
      </c>
      <c r="K4343" s="3202"/>
      <c r="L4343" s="3202" t="s">
        <v>3028</v>
      </c>
      <c r="M4343" s="3202"/>
      <c r="N4343" s="3231" t="str">
        <f>$V$2</f>
        <v>2019年12月31日</v>
      </c>
      <c r="O4343" s="3245"/>
      <c r="P4343" s="355" t="s">
        <v>5320</v>
      </c>
      <c r="S4343" s="364"/>
      <c r="Z4343" s="609" t="s">
        <v>4137</v>
      </c>
      <c r="AA4343" s="609" t="s">
        <v>5698</v>
      </c>
    </row>
    <row r="4344" spans="1:27" ht="17">
      <c r="A4344" s="2714"/>
      <c r="B4344" s="371"/>
      <c r="C4344" s="371"/>
      <c r="D4344" s="371"/>
      <c r="E4344" s="586" t="s">
        <v>2749</v>
      </c>
      <c r="F4344" s="363"/>
      <c r="G4344" s="3171"/>
      <c r="H4344" s="2421" t="s">
        <v>4043</v>
      </c>
      <c r="I4344" s="2421" t="s">
        <v>2863</v>
      </c>
      <c r="J4344" s="2421" t="s">
        <v>4043</v>
      </c>
      <c r="K4344" s="2421" t="s">
        <v>2863</v>
      </c>
      <c r="L4344" s="2421" t="s">
        <v>4043</v>
      </c>
      <c r="M4344" s="2421" t="s">
        <v>2863</v>
      </c>
      <c r="N4344" s="2421" t="s">
        <v>4043</v>
      </c>
      <c r="O4344" s="2422" t="s">
        <v>2863</v>
      </c>
      <c r="S4344" s="364"/>
      <c r="Z4344" s="609" t="s">
        <v>4137</v>
      </c>
      <c r="AA4344" s="609" t="s">
        <v>5698</v>
      </c>
    </row>
    <row r="4345" spans="1:27" ht="17">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5698</v>
      </c>
    </row>
    <row r="4346" spans="1:27" ht="17">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5698</v>
      </c>
    </row>
    <row r="4347" spans="1:27" ht="17">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5698</v>
      </c>
    </row>
    <row r="4348" spans="1:27" ht="1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5698</v>
      </c>
    </row>
    <row r="4349" spans="1:27" ht="17">
      <c r="A4349" s="2714"/>
      <c r="B4349" s="371"/>
      <c r="C4349" s="371" t="s">
        <v>2755</v>
      </c>
      <c r="D4349" s="371"/>
      <c r="F4349" s="294"/>
      <c r="G4349" s="301"/>
      <c r="H4349" s="315"/>
      <c r="I4349" s="315"/>
      <c r="J4349" s="315"/>
      <c r="K4349" s="315"/>
      <c r="L4349" s="315"/>
      <c r="M4349" s="315"/>
      <c r="N4349" s="315"/>
      <c r="O4349" s="315"/>
      <c r="S4349" s="364"/>
      <c r="Z4349" s="609" t="s">
        <v>4137</v>
      </c>
      <c r="AA4349" s="609" t="s">
        <v>5698</v>
      </c>
    </row>
    <row r="4350" spans="1:27" ht="17">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5699</v>
      </c>
    </row>
    <row r="4351" spans="1:27" ht="17">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5699</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5699</v>
      </c>
    </row>
    <row r="4353" spans="1:27" ht="26">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5321</v>
      </c>
      <c r="M4353" s="291"/>
      <c r="N4353" s="291"/>
      <c r="O4353" s="291"/>
      <c r="S4353" s="364"/>
      <c r="Z4353" s="609" t="s">
        <v>4140</v>
      </c>
      <c r="AA4353" s="609" t="s">
        <v>5699</v>
      </c>
    </row>
    <row r="4354" spans="1:27" ht="17">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5699</v>
      </c>
    </row>
    <row r="4355" spans="1:27" ht="17">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5699</v>
      </c>
    </row>
    <row r="4356" spans="1:27" ht="17">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5699</v>
      </c>
    </row>
    <row r="4357" spans="1:27" ht="1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5699</v>
      </c>
    </row>
    <row r="4358" spans="1:27" ht="17">
      <c r="A4358" s="2714"/>
      <c r="B4358" s="371"/>
      <c r="C4358" s="371" t="s">
        <v>2755</v>
      </c>
      <c r="D4358" s="371"/>
      <c r="F4358" s="294"/>
      <c r="G4358" s="301"/>
      <c r="H4358" s="349"/>
      <c r="I4358" s="349"/>
      <c r="J4358" s="349"/>
      <c r="K4358" s="349"/>
      <c r="L4358" s="291"/>
      <c r="M4358" s="291"/>
      <c r="N4358" s="291"/>
      <c r="O4358" s="291"/>
      <c r="S4358" s="364"/>
      <c r="Z4358" s="609" t="s">
        <v>4140</v>
      </c>
      <c r="AA4358" s="609" t="s">
        <v>5699</v>
      </c>
    </row>
    <row r="4359" spans="1:27" ht="17">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5700</v>
      </c>
    </row>
    <row r="4360" spans="1:27" ht="17">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5700</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5700</v>
      </c>
    </row>
    <row r="4362" spans="1:27" ht="26">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5322</v>
      </c>
      <c r="M4362" s="291"/>
      <c r="N4362" s="291"/>
      <c r="O4362" s="291"/>
      <c r="S4362" s="364"/>
      <c r="Z4362" s="609" t="s">
        <v>4144</v>
      </c>
      <c r="AA4362" s="609" t="s">
        <v>5700</v>
      </c>
    </row>
    <row r="4363" spans="1:27" ht="17">
      <c r="A4363" s="2714"/>
      <c r="B4363" s="371">
        <v>101</v>
      </c>
      <c r="C4363" s="371"/>
      <c r="D4363" s="2716">
        <f>IF(OR(G4363="*",G4363="",G4363=0),0,COUNTIF($G$4363:$G$4364,G4363))</f>
        <v>1</v>
      </c>
      <c r="E4363" s="2721">
        <v>1</v>
      </c>
      <c r="F4363" s="294"/>
      <c r="G4363" s="1474" t="s">
        <v>6087</v>
      </c>
      <c r="H4363" s="2275"/>
      <c r="I4363" s="2275"/>
      <c r="J4363" s="2275"/>
      <c r="K4363" s="1477">
        <f>H4363+I4363-J4363</f>
        <v>0</v>
      </c>
      <c r="L4363" s="291"/>
      <c r="M4363" s="291"/>
      <c r="N4363" s="291"/>
      <c r="O4363" s="291"/>
      <c r="S4363" s="364"/>
      <c r="Z4363" s="609" t="s">
        <v>4144</v>
      </c>
      <c r="AA4363" s="609" t="s">
        <v>5700</v>
      </c>
    </row>
    <row r="4364" spans="1:27" ht="1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5700</v>
      </c>
    </row>
    <row r="4365" spans="1:27" ht="17">
      <c r="A4365" s="2714"/>
      <c r="B4365" s="371"/>
      <c r="C4365" s="371" t="s">
        <v>2755</v>
      </c>
      <c r="D4365" s="371"/>
      <c r="F4365" s="294"/>
      <c r="G4365" s="301"/>
      <c r="H4365" s="315"/>
      <c r="I4365" s="315"/>
      <c r="J4365" s="315"/>
      <c r="K4365" s="315"/>
      <c r="L4365" s="291"/>
      <c r="M4365" s="291"/>
      <c r="N4365" s="291"/>
      <c r="O4365" s="291"/>
      <c r="S4365" s="364"/>
      <c r="Z4365" s="609" t="s">
        <v>4144</v>
      </c>
      <c r="AA4365" s="609" t="s">
        <v>5700</v>
      </c>
    </row>
    <row r="4366" spans="1:27" ht="17">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5701</v>
      </c>
    </row>
    <row r="4367" spans="1:27" ht="17">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5445</v>
      </c>
      <c r="I4368" s="371" t="s">
        <v>5446</v>
      </c>
      <c r="J4368" s="371" t="s">
        <v>5447</v>
      </c>
      <c r="K4368" s="547" t="s">
        <v>5448</v>
      </c>
      <c r="L4368" s="547" t="s">
        <v>5449</v>
      </c>
      <c r="M4368" s="371" t="s">
        <v>5450</v>
      </c>
      <c r="N4368" s="371" t="s">
        <v>5451</v>
      </c>
      <c r="O4368" s="371" t="s">
        <v>5452</v>
      </c>
      <c r="P4368" s="371" t="s">
        <v>5453</v>
      </c>
      <c r="S4368" s="364"/>
      <c r="Z4368" s="609" t="s">
        <v>4147</v>
      </c>
      <c r="AA4368" s="609" t="s">
        <v>4149</v>
      </c>
    </row>
    <row r="4369" spans="1:27" ht="0.75" customHeight="1" thickBot="1">
      <c r="A4369" s="2714"/>
      <c r="B4369" s="371"/>
      <c r="C4369" s="371"/>
      <c r="D4369" s="2716"/>
      <c r="F4369" s="371"/>
      <c r="G4369" s="405"/>
      <c r="H4369" s="371" t="s">
        <v>5454</v>
      </c>
      <c r="I4369" s="371" t="s">
        <v>5455</v>
      </c>
      <c r="J4369" s="371" t="s">
        <v>5456</v>
      </c>
      <c r="K4369" s="547" t="s">
        <v>5457</v>
      </c>
      <c r="L4369" s="547" t="s">
        <v>5458</v>
      </c>
      <c r="M4369" s="371" t="s">
        <v>5459</v>
      </c>
      <c r="N4369" s="547" t="s">
        <v>5460</v>
      </c>
      <c r="O4369" s="547" t="s">
        <v>5461</v>
      </c>
      <c r="P4369" s="371" t="s">
        <v>5462</v>
      </c>
      <c r="S4369" s="364"/>
      <c r="Z4369" s="609" t="s">
        <v>4147</v>
      </c>
      <c r="AA4369" s="609" t="s">
        <v>4149</v>
      </c>
    </row>
    <row r="4370" spans="1:27" ht="18" customHeight="1">
      <c r="A4370" s="2714"/>
      <c r="B4370" s="371"/>
      <c r="C4370" s="371"/>
      <c r="D4370" s="2716"/>
      <c r="E4370" s="2716" t="s">
        <v>2749</v>
      </c>
      <c r="F4370" s="293"/>
      <c r="G4370" s="3161" t="s">
        <v>47</v>
      </c>
      <c r="H4370" s="3229" t="str">
        <f>$V$3</f>
        <v>2018年12月31日</v>
      </c>
      <c r="I4370" s="3250" t="s">
        <v>2918</v>
      </c>
      <c r="J4370" s="3229" t="str">
        <f>$X$3</f>
        <v>2019年1月1日</v>
      </c>
      <c r="K4370" s="3250" t="s">
        <v>4156</v>
      </c>
      <c r="L4370" s="3250"/>
      <c r="M4370" s="3250"/>
      <c r="N4370" s="3250"/>
      <c r="O4370" s="3250"/>
      <c r="P4370" s="3293" t="str">
        <f>$V$2</f>
        <v>2019年12月31日</v>
      </c>
      <c r="Q4370" s="355" t="s">
        <v>5323</v>
      </c>
      <c r="S4370" s="364"/>
      <c r="Z4370" s="609" t="s">
        <v>4147</v>
      </c>
      <c r="AA4370" s="609" t="s">
        <v>4149</v>
      </c>
    </row>
    <row r="4371" spans="1:27" ht="39">
      <c r="A4371" s="2714"/>
      <c r="B4371" s="371"/>
      <c r="C4371" s="371"/>
      <c r="D4371" s="2716"/>
      <c r="E4371" s="2716" t="s">
        <v>2749</v>
      </c>
      <c r="F4371" s="293"/>
      <c r="G4371" s="3162"/>
      <c r="H4371" s="3230"/>
      <c r="I4371" s="3242"/>
      <c r="J4371" s="3230"/>
      <c r="K4371" s="2601" t="s">
        <v>4157</v>
      </c>
      <c r="L4371" s="2601" t="s">
        <v>4158</v>
      </c>
      <c r="M4371" s="2601" t="s">
        <v>867</v>
      </c>
      <c r="N4371" s="2601" t="s">
        <v>4159</v>
      </c>
      <c r="O4371" s="2601" t="s">
        <v>4160</v>
      </c>
      <c r="P4371" s="3294"/>
      <c r="S4371" s="364"/>
      <c r="Z4371" s="609" t="s">
        <v>4147</v>
      </c>
      <c r="AA4371" s="609" t="s">
        <v>4149</v>
      </c>
    </row>
    <row r="4372" spans="1:27" ht="26">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6">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6">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6">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6">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7">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7">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6">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6">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7">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6">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7">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6">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6">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6">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7">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7">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7">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7">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7" hidden="1">
      <c r="A4392" s="2714" t="s">
        <v>1834</v>
      </c>
      <c r="B4392" s="371">
        <v>2</v>
      </c>
      <c r="C4392" s="371"/>
      <c r="D4392" s="2716" t="str">
        <f>VLOOKUP($A4392,Sheet_NoteList,2,0)</f>
        <v>其他综合收益变动情况</v>
      </c>
      <c r="E4392" s="2716" t="s">
        <v>6629</v>
      </c>
      <c r="F4392" s="294"/>
      <c r="G4392" s="307" t="str">
        <f>"("&amp;B4392&amp;")"&amp;D4392</f>
        <v>(2)其他综合收益变动情况</v>
      </c>
      <c r="H4392" s="1517" t="str">
        <f>$A4392</f>
        <v>4215a</v>
      </c>
      <c r="I4392" s="343" t="s">
        <v>6632</v>
      </c>
      <c r="J4392" s="301" t="s">
        <v>6630</v>
      </c>
      <c r="K4392" s="344">
        <f>N4410</f>
        <v>0</v>
      </c>
      <c r="L4392" s="345" t="str">
        <f>IF($I4392="适用",IF(ROUND(K4366-K4392,2)=0,"F/S",ROUND(K4366-K4392,2)),"#N/A")</f>
        <v>#N/A</v>
      </c>
      <c r="M4392" s="301" t="s">
        <v>6631</v>
      </c>
      <c r="N4392" s="344">
        <f>H4410</f>
        <v>0</v>
      </c>
      <c r="O4392" s="345" t="str">
        <f>IF($I4392="适用",IF(ROUND(N4366-N4392,2)=0,"F/S",ROUND(N4366-N4392,2)),"#N/A")</f>
        <v>#N/A</v>
      </c>
      <c r="S4392" s="364"/>
      <c r="Z4392" s="609" t="s">
        <v>4147</v>
      </c>
      <c r="AA4392" s="609" t="s">
        <v>5701</v>
      </c>
      <c r="AE4392" s="369" t="s">
        <v>2761</v>
      </c>
    </row>
    <row r="4393" spans="1:32" ht="0.75" hidden="1" customHeight="1">
      <c r="A4393" s="2714"/>
      <c r="B4393" s="371"/>
      <c r="C4393" s="371"/>
      <c r="D4393" s="371"/>
      <c r="E4393" s="586"/>
      <c r="F4393" s="586"/>
      <c r="G4393" s="586" t="s">
        <v>4167</v>
      </c>
      <c r="H4393" s="371" t="s">
        <v>6308</v>
      </c>
      <c r="I4393" s="371" t="s">
        <v>6309</v>
      </c>
      <c r="J4393" s="371" t="s">
        <v>6310</v>
      </c>
      <c r="K4393" s="371" t="s">
        <v>6311</v>
      </c>
      <c r="L4393" s="371" t="s">
        <v>6312</v>
      </c>
      <c r="M4393" s="371" t="s">
        <v>6313</v>
      </c>
      <c r="N4393" s="371" t="s">
        <v>6314</v>
      </c>
      <c r="P4393" s="291"/>
      <c r="Q4393" s="472"/>
      <c r="R4393" s="472"/>
      <c r="S4393" s="364"/>
      <c r="Z4393" s="609" t="s">
        <v>4147</v>
      </c>
      <c r="AA4393" s="609" t="s">
        <v>5701</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5701</v>
      </c>
      <c r="AE4394" s="369" t="s">
        <v>2761</v>
      </c>
    </row>
    <row r="4395" spans="1:32" ht="17" hidden="1">
      <c r="A4395" s="2714"/>
      <c r="B4395" s="371"/>
      <c r="C4395" s="371"/>
      <c r="D4395" s="371"/>
      <c r="E4395" s="586" t="s">
        <v>2749</v>
      </c>
      <c r="F4395" s="363"/>
      <c r="G4395" s="3159" t="s">
        <v>47</v>
      </c>
      <c r="H4395" s="3168" t="s">
        <v>6083</v>
      </c>
      <c r="I4395" s="3168" t="s">
        <v>4156</v>
      </c>
      <c r="J4395" s="3168"/>
      <c r="K4395" s="3168"/>
      <c r="L4395" s="3168"/>
      <c r="M4395" s="3168"/>
      <c r="N4395" s="3288" t="s">
        <v>6082</v>
      </c>
      <c r="O4395" s="3292" t="s">
        <v>5991</v>
      </c>
      <c r="P4395" s="614" t="s">
        <v>914</v>
      </c>
      <c r="Q4395" s="615">
        <f>VLOOKUP(6829.2,Sheet_Trialbal,6,0)</f>
        <v>0</v>
      </c>
      <c r="R4395" s="345" t="str">
        <f>IF($I$4392="适用",IF(ROUND(Q4395-L4410,2)=0,"F/S",ROUND(Q4395-L4410,2)),"#N/A")</f>
        <v>#N/A</v>
      </c>
      <c r="S4395" s="364"/>
      <c r="Z4395" s="609" t="s">
        <v>4147</v>
      </c>
      <c r="AA4395" s="609" t="s">
        <v>5701</v>
      </c>
      <c r="AE4395" s="369" t="s">
        <v>2761</v>
      </c>
      <c r="AF4395" s="369"/>
    </row>
    <row r="4396" spans="1:32" ht="52" hidden="1">
      <c r="A4396" s="2714"/>
      <c r="B4396" s="371"/>
      <c r="C4396" s="371"/>
      <c r="D4396" s="371"/>
      <c r="E4396" s="586" t="s">
        <v>2749</v>
      </c>
      <c r="F4396" s="363"/>
      <c r="G4396" s="3160"/>
      <c r="H4396" s="3251"/>
      <c r="I4396" s="2426" t="s">
        <v>4157</v>
      </c>
      <c r="J4396" s="2426" t="s">
        <v>4158</v>
      </c>
      <c r="K4396" s="2426" t="s">
        <v>867</v>
      </c>
      <c r="L4396" s="2426" t="s">
        <v>4159</v>
      </c>
      <c r="M4396" s="2426" t="s">
        <v>4160</v>
      </c>
      <c r="N4396" s="3289"/>
      <c r="O4396" s="3292"/>
      <c r="P4396" s="616" t="s">
        <v>957</v>
      </c>
      <c r="Q4396" s="615">
        <f>VLOOKUP(6829.5,Sheet_Trialbal,6,0)</f>
        <v>0</v>
      </c>
      <c r="R4396" s="345" t="str">
        <f>IF($I$4392="适用",IF(ROUND(Q4396-M4410,2)=0,"F/S",ROUND(Q4396-M4410,2)),"#N/A")</f>
        <v>#N/A</v>
      </c>
      <c r="S4396" s="364"/>
      <c r="Z4396" s="609" t="s">
        <v>4147</v>
      </c>
      <c r="AA4396" s="609" t="s">
        <v>5701</v>
      </c>
      <c r="AE4396" s="369" t="s">
        <v>2761</v>
      </c>
      <c r="AF4396" s="369"/>
    </row>
    <row r="4397" spans="1:32" ht="26"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5701</v>
      </c>
      <c r="AE4397" s="369" t="s">
        <v>2761</v>
      </c>
      <c r="AF4397" s="369"/>
    </row>
    <row r="4398" spans="1:32" ht="26"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5701</v>
      </c>
      <c r="AE4398" s="369" t="s">
        <v>2761</v>
      </c>
      <c r="AF4398" s="369"/>
    </row>
    <row r="4399" spans="1:32" ht="26"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5701</v>
      </c>
      <c r="AE4399" s="369" t="s">
        <v>2761</v>
      </c>
      <c r="AF4399" s="369"/>
    </row>
    <row r="4400" spans="1:32" ht="17"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5701</v>
      </c>
      <c r="AE4400" s="369" t="s">
        <v>2761</v>
      </c>
      <c r="AF4400" s="369"/>
    </row>
    <row r="4401" spans="1:32" ht="17"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5701</v>
      </c>
      <c r="AE4401" s="369" t="s">
        <v>2761</v>
      </c>
      <c r="AF4401" s="369"/>
    </row>
    <row r="4402" spans="1:32" ht="26"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5701</v>
      </c>
      <c r="AE4402" s="369" t="s">
        <v>2761</v>
      </c>
      <c r="AF4402" s="369"/>
    </row>
    <row r="4403" spans="1:32" ht="26"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5701</v>
      </c>
      <c r="AE4403" s="369" t="s">
        <v>2761</v>
      </c>
      <c r="AF4403" s="369"/>
    </row>
    <row r="4404" spans="1:32" ht="26"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5701</v>
      </c>
      <c r="AE4404" s="369" t="s">
        <v>2761</v>
      </c>
      <c r="AF4404" s="369"/>
    </row>
    <row r="4405" spans="1:32" ht="26"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5701</v>
      </c>
      <c r="AE4405" s="369" t="s">
        <v>2761</v>
      </c>
      <c r="AF4405" s="369"/>
    </row>
    <row r="4406" spans="1:32" ht="26"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5701</v>
      </c>
      <c r="AE4406" s="369" t="s">
        <v>2761</v>
      </c>
      <c r="AF4406" s="369"/>
    </row>
    <row r="4407" spans="1:32" ht="17"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5701</v>
      </c>
      <c r="AE4407" s="369" t="s">
        <v>2761</v>
      </c>
      <c r="AF4407" s="369"/>
    </row>
    <row r="4408" spans="1:32" ht="17"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5701</v>
      </c>
      <c r="AE4408" s="369" t="s">
        <v>2761</v>
      </c>
      <c r="AF4408" s="369"/>
    </row>
    <row r="4409" spans="1:32" ht="17"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5701</v>
      </c>
      <c r="AE4409" s="369" t="s">
        <v>2761</v>
      </c>
      <c r="AF4409" s="369"/>
    </row>
    <row r="4410" spans="1:32" ht="1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5701</v>
      </c>
      <c r="AE4410" s="369" t="s">
        <v>2761</v>
      </c>
      <c r="AF4410" s="369"/>
    </row>
    <row r="4411" spans="1:32" ht="17"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5701</v>
      </c>
      <c r="AE4411" s="369" t="s">
        <v>2761</v>
      </c>
    </row>
    <row r="4412" spans="1:32" ht="17">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5702</v>
      </c>
    </row>
    <row r="4413" spans="1:32" ht="17">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5702</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5702</v>
      </c>
    </row>
    <row r="4415" spans="1:32" ht="26">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5324</v>
      </c>
      <c r="M4415" s="291"/>
      <c r="N4415" s="291"/>
      <c r="O4415" s="291"/>
      <c r="S4415" s="364"/>
      <c r="Z4415" s="609" t="s">
        <v>4175</v>
      </c>
      <c r="AA4415" s="609" t="s">
        <v>5702</v>
      </c>
    </row>
    <row r="4416" spans="1:32" ht="17">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5702</v>
      </c>
    </row>
    <row r="4417" spans="1:27" ht="17">
      <c r="A4417" s="2714"/>
      <c r="B4417" s="371">
        <v>102</v>
      </c>
      <c r="C4417" s="371" t="s">
        <v>2791</v>
      </c>
      <c r="D4417" s="2716">
        <f t="shared" si="496"/>
        <v>1</v>
      </c>
      <c r="E4417" s="2721">
        <v>1</v>
      </c>
      <c r="F4417" s="294"/>
      <c r="G4417" s="2427" t="s">
        <v>6088</v>
      </c>
      <c r="H4417" s="2275"/>
      <c r="I4417" s="2275"/>
      <c r="J4417" s="2275"/>
      <c r="K4417" s="1477">
        <f>H4417+I4417-J4417</f>
        <v>0</v>
      </c>
      <c r="L4417" s="291"/>
      <c r="M4417" s="291"/>
      <c r="N4417" s="291"/>
      <c r="O4417" s="291"/>
      <c r="S4417" s="364"/>
      <c r="Z4417" s="609" t="s">
        <v>4175</v>
      </c>
      <c r="AA4417" s="609" t="s">
        <v>5702</v>
      </c>
    </row>
    <row r="4418" spans="1:27" ht="17">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5702</v>
      </c>
    </row>
    <row r="4419" spans="1:27" ht="17">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5702</v>
      </c>
    </row>
    <row r="4420" spans="1:27" ht="17">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5702</v>
      </c>
    </row>
    <row r="4421" spans="1:27" ht="1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5702</v>
      </c>
    </row>
    <row r="4422" spans="1:27" ht="17">
      <c r="A4422" s="2714"/>
      <c r="B4422" s="371"/>
      <c r="C4422" s="371" t="s">
        <v>2755</v>
      </c>
      <c r="D4422" s="371"/>
      <c r="F4422" s="294"/>
      <c r="G4422" s="301"/>
      <c r="H4422" s="315"/>
      <c r="I4422" s="315"/>
      <c r="J4422" s="315"/>
      <c r="K4422" s="315"/>
      <c r="L4422" s="291"/>
      <c r="M4422" s="291"/>
      <c r="N4422" s="291"/>
      <c r="O4422" s="291"/>
      <c r="S4422" s="364"/>
      <c r="Z4422" s="609" t="s">
        <v>4175</v>
      </c>
      <c r="AA4422" s="609" t="s">
        <v>5702</v>
      </c>
    </row>
    <row r="4423" spans="1:27" ht="17">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7">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6">
      <c r="A4426" s="2714"/>
      <c r="B4426" s="371"/>
      <c r="C4426" s="371"/>
      <c r="D4426" s="2716"/>
      <c r="E4426" s="2716" t="s">
        <v>2749</v>
      </c>
      <c r="F4426" s="293"/>
      <c r="G4426" s="2563" t="s">
        <v>47</v>
      </c>
      <c r="H4426" s="2571" t="str">
        <f>$V$3</f>
        <v>2018年12月31日</v>
      </c>
      <c r="I4426" s="2558" t="s">
        <v>5210</v>
      </c>
      <c r="J4426" s="2571" t="str">
        <f>$X$3</f>
        <v>2019年1月1日</v>
      </c>
      <c r="K4426" s="2311" t="s">
        <v>3027</v>
      </c>
      <c r="L4426" s="2311" t="s">
        <v>3028</v>
      </c>
      <c r="M4426" s="2561" t="str">
        <f>$V$2</f>
        <v>2019年12月31日</v>
      </c>
      <c r="N4426" s="355" t="s">
        <v>5325</v>
      </c>
      <c r="O4426" s="434"/>
      <c r="P4426" s="435"/>
      <c r="Q4426" s="442"/>
      <c r="R4426" s="443"/>
      <c r="S4426" s="364"/>
      <c r="Z4426" s="609" t="s">
        <v>4178</v>
      </c>
      <c r="AA4426" s="609" t="s">
        <v>4179</v>
      </c>
    </row>
    <row r="4427" spans="1:27" ht="17">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7">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7">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7">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7">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7">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7">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7">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7">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7" hidden="1">
      <c r="A4437" s="2714" t="s">
        <v>1810</v>
      </c>
      <c r="B4437" s="371">
        <v>2</v>
      </c>
      <c r="C4437" s="371"/>
      <c r="D4437" s="2716" t="str">
        <f>VLOOKUP($A4437,Sheet_NoteList,2,0)</f>
        <v>盈余公积变动情况</v>
      </c>
      <c r="E4437" s="2716" t="s">
        <v>6615</v>
      </c>
      <c r="F4437" s="294"/>
      <c r="G4437" s="307" t="str">
        <f>"("&amp;B4437&amp;")"&amp;D4437</f>
        <v>(2)盈余公积变动情况</v>
      </c>
      <c r="H4437" s="1517" t="str">
        <f>$A4437</f>
        <v>4101a</v>
      </c>
      <c r="I4437" s="343" t="s">
        <v>6618</v>
      </c>
      <c r="J4437" s="301" t="s">
        <v>6616</v>
      </c>
      <c r="K4437" s="344">
        <f>K4446</f>
        <v>0</v>
      </c>
      <c r="L4437" s="345" t="str">
        <f>IF($I4437="适用",IF(ROUND(K4423-K4437,2)=0,"F/S",ROUND(K4423-K4437,2)),"#N/A")</f>
        <v>#N/A</v>
      </c>
      <c r="M4437" s="301" t="s">
        <v>6620</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6306</v>
      </c>
      <c r="J4438" s="371" t="s">
        <v>6307</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6145</v>
      </c>
      <c r="I4439" s="2434" t="s">
        <v>3027</v>
      </c>
      <c r="J4439" s="2434" t="s">
        <v>3028</v>
      </c>
      <c r="K4439" s="2572" t="s">
        <v>6146</v>
      </c>
      <c r="L4439" s="2452" t="s">
        <v>5991</v>
      </c>
      <c r="M4439" s="1604"/>
      <c r="N4439" s="1604"/>
      <c r="O4439" s="1604"/>
      <c r="P4439" s="1604"/>
      <c r="Q4439" s="1604"/>
      <c r="R4439" s="1604"/>
      <c r="S4439" s="364"/>
      <c r="Z4439" s="609" t="s">
        <v>4178</v>
      </c>
      <c r="AA4439" s="609" t="s">
        <v>4179</v>
      </c>
      <c r="AE4439" s="369" t="s">
        <v>2761</v>
      </c>
      <c r="AF4439" s="369"/>
    </row>
    <row r="4440" spans="1:32" ht="17"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7"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7"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7"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7"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7"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7"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7">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7">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7">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7">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7">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7">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7">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-4039.23</v>
      </c>
      <c r="L4456" s="342"/>
      <c r="M4456" s="306" t="s">
        <v>2741</v>
      </c>
      <c r="N4456" s="341">
        <f>VLOOKUP($A4456,Sheet_Trialbal,10,0)</f>
        <v>-1714.32</v>
      </c>
      <c r="O4456" s="306"/>
      <c r="P4456" s="301"/>
      <c r="S4456" s="364"/>
      <c r="Z4456" s="609" t="s">
        <v>4188</v>
      </c>
      <c r="AA4456" s="609" t="s">
        <v>5703</v>
      </c>
    </row>
    <row r="4457" spans="1:27" ht="26">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-4039.23</v>
      </c>
      <c r="L4457" s="345" t="str">
        <f>IF($I4457="适用",IF(ROUND(K4456-K4457,2)=0,"F/S",ROUND(K4456-K4457,2)),"#N/A")</f>
        <v>F/S</v>
      </c>
      <c r="M4457" s="301" t="s">
        <v>2745</v>
      </c>
      <c r="N4457" s="2210">
        <f>I4472</f>
        <v>-1714.32</v>
      </c>
      <c r="O4457" s="345" t="str">
        <f>IF($I4457="适用",IF(ROUND(N4456-N4457,2)=0,"F/S",ROUND(N4456-N4457,2)),"#N/A")</f>
        <v>F/S</v>
      </c>
      <c r="P4457" s="301"/>
      <c r="Q4457" s="290" t="str">
        <f>IF($I4457="不适用","",IF(ROUND(SUM($H$4460:$J$4472),2)=0,"请输入",""))</f>
        <v/>
      </c>
      <c r="S4457" s="364"/>
      <c r="Z4457" s="609" t="s">
        <v>4188</v>
      </c>
      <c r="AA4457" s="609" t="s">
        <v>5703</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5703</v>
      </c>
    </row>
    <row r="4459" spans="1:27" ht="17">
      <c r="A4459" s="2714"/>
      <c r="B4459" s="371"/>
      <c r="C4459" s="371"/>
      <c r="D4459" s="371"/>
      <c r="E4459" s="2716" t="s">
        <v>2749</v>
      </c>
      <c r="F4459" s="294"/>
      <c r="G4459" s="410" t="s">
        <v>47</v>
      </c>
      <c r="H4459" s="1514" t="str">
        <f>$V$4</f>
        <v>2019年度</v>
      </c>
      <c r="I4459" s="1515" t="str">
        <f>$V$5</f>
        <v>2018年度</v>
      </c>
      <c r="J4459" s="355" t="s">
        <v>5326</v>
      </c>
      <c r="K4459" s="472"/>
      <c r="L4459" s="472"/>
      <c r="M4459" s="472"/>
      <c r="N4459" s="442"/>
      <c r="O4459" s="442"/>
      <c r="P4459" s="442"/>
      <c r="Q4459" s="442"/>
      <c r="R4459" s="443"/>
      <c r="S4459" s="364"/>
      <c r="Z4459" s="609" t="s">
        <v>4188</v>
      </c>
      <c r="AA4459" s="609" t="s">
        <v>5703</v>
      </c>
    </row>
    <row r="4460" spans="1:27" ht="17">
      <c r="A4460" s="2714"/>
      <c r="B4460" s="371">
        <v>101</v>
      </c>
      <c r="C4460" s="371"/>
      <c r="D4460" s="2716">
        <f t="shared" ref="D4460:D4472" si="503">IF(OR(G4460="*",G4460="",G4460=0),0,COUNTIF($G$4460:$G$4472,G4460))</f>
        <v>1</v>
      </c>
      <c r="E4460" s="2721">
        <v>1</v>
      </c>
      <c r="F4460" s="294"/>
      <c r="G4460" s="308" t="s">
        <v>4190</v>
      </c>
      <c r="H4460" s="309">
        <f>I4472</f>
        <v>-1714.32</v>
      </c>
      <c r="I4460" s="346"/>
      <c r="J4460" s="617"/>
      <c r="K4460" s="472"/>
      <c r="L4460" s="472"/>
      <c r="M4460" s="472"/>
      <c r="N4460" s="442"/>
      <c r="O4460" s="442"/>
      <c r="P4460" s="442"/>
      <c r="Q4460" s="442"/>
      <c r="R4460" s="443"/>
      <c r="S4460" s="364"/>
      <c r="Z4460" s="609" t="s">
        <v>4188</v>
      </c>
      <c r="AA4460" s="609" t="s">
        <v>5703</v>
      </c>
    </row>
    <row r="4461" spans="1:27" ht="26">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5703</v>
      </c>
    </row>
    <row r="4462" spans="1:27" ht="17">
      <c r="A4462" s="2714"/>
      <c r="B4462" s="371">
        <v>103</v>
      </c>
      <c r="C4462" s="371"/>
      <c r="D4462" s="2716">
        <f t="shared" si="503"/>
        <v>1</v>
      </c>
      <c r="E4462" s="2721">
        <v>0</v>
      </c>
      <c r="F4462" s="294"/>
      <c r="G4462" s="308" t="s">
        <v>4192</v>
      </c>
      <c r="H4462" s="320">
        <f>H4460+H4461</f>
        <v>-1714.32</v>
      </c>
      <c r="I4462" s="361">
        <f>I4460+I4461</f>
        <v>0</v>
      </c>
      <c r="J4462" s="617"/>
      <c r="K4462" s="472"/>
      <c r="L4462" s="472"/>
      <c r="M4462" s="472"/>
      <c r="N4462" s="442"/>
      <c r="O4462" s="442"/>
      <c r="P4462" s="442"/>
      <c r="Q4462" s="442"/>
      <c r="R4462" s="443"/>
      <c r="S4462" s="364"/>
      <c r="Z4462" s="609" t="s">
        <v>4188</v>
      </c>
      <c r="AA4462" s="609" t="s">
        <v>5703</v>
      </c>
    </row>
    <row r="4463" spans="1:27" ht="26">
      <c r="A4463" s="2714"/>
      <c r="B4463" s="371">
        <v>104</v>
      </c>
      <c r="C4463" s="371"/>
      <c r="D4463" s="2716">
        <f t="shared" si="503"/>
        <v>1</v>
      </c>
      <c r="E4463" s="2721">
        <v>1</v>
      </c>
      <c r="F4463" s="294"/>
      <c r="G4463" s="308" t="s">
        <v>4193</v>
      </c>
      <c r="H4463" s="309">
        <f>VLOOKUP(6811,Sheet_Trialbal,6,0)</f>
        <v>-2324.91</v>
      </c>
      <c r="I4463" s="346">
        <f>VLOOKUP(6811,Sheet_Trialbal,10,0)</f>
        <v>-1714.32</v>
      </c>
      <c r="J4463" s="437"/>
      <c r="K4463" s="472"/>
      <c r="L4463" s="472"/>
      <c r="M4463" s="472"/>
      <c r="N4463" s="442"/>
      <c r="O4463" s="442"/>
      <c r="P4463" s="442"/>
      <c r="Q4463" s="442"/>
      <c r="R4463" s="443"/>
      <c r="S4463" s="364"/>
      <c r="Z4463" s="609" t="s">
        <v>4188</v>
      </c>
      <c r="AA4463" s="609" t="s">
        <v>5703</v>
      </c>
    </row>
    <row r="4464" spans="1:27" ht="17">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5703</v>
      </c>
    </row>
    <row r="4465" spans="1:27" ht="17">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5703</v>
      </c>
    </row>
    <row r="4466" spans="1:27" ht="17">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5703</v>
      </c>
    </row>
    <row r="4467" spans="1:27" ht="17">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5703</v>
      </c>
    </row>
    <row r="4468" spans="1:27" ht="17">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5703</v>
      </c>
    </row>
    <row r="4469" spans="1:27" ht="17">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5703</v>
      </c>
    </row>
    <row r="4470" spans="1:27" ht="17">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5703</v>
      </c>
    </row>
    <row r="4471" spans="1:27" ht="17">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5703</v>
      </c>
    </row>
    <row r="4472" spans="1:27" ht="17.5" thickBot="1">
      <c r="A4472" s="2714"/>
      <c r="B4472" s="371"/>
      <c r="C4472" s="371"/>
      <c r="D4472" s="2716">
        <f t="shared" si="503"/>
        <v>1</v>
      </c>
      <c r="E4472" s="2721" t="s">
        <v>2751</v>
      </c>
      <c r="F4472" s="294"/>
      <c r="G4472" s="374" t="s">
        <v>4198</v>
      </c>
      <c r="H4472" s="375">
        <f>SUMPRODUCT($E4459:$E4471,H4459:H4471)</f>
        <v>-4039.23</v>
      </c>
      <c r="I4472" s="395">
        <f>SUMPRODUCT($E4459:$E4471,I4459:I4471)</f>
        <v>-1714.32</v>
      </c>
      <c r="J4472" s="437"/>
      <c r="K4472" s="472"/>
      <c r="L4472" s="472"/>
      <c r="M4472" s="472"/>
      <c r="N4472" s="442"/>
      <c r="O4472" s="442"/>
      <c r="P4472" s="442"/>
      <c r="Q4472" s="442"/>
      <c r="R4472" s="443"/>
      <c r="S4472" s="364"/>
      <c r="Z4472" s="609" t="s">
        <v>4188</v>
      </c>
      <c r="AA4472" s="609" t="s">
        <v>5703</v>
      </c>
    </row>
    <row r="4473" spans="1:27" ht="17">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5703</v>
      </c>
    </row>
    <row r="4474" spans="1:27" ht="26">
      <c r="A4474" s="2714" t="s">
        <v>1824</v>
      </c>
      <c r="B4474" s="371">
        <v>2</v>
      </c>
      <c r="C4474" s="371"/>
      <c r="D4474" s="2716" t="str">
        <f>VLOOKUP($A4474,Sheet_NoteList,2,0)</f>
        <v>调整本期期初未分配利润明细情况</v>
      </c>
      <c r="E4474" s="2716" t="s">
        <v>6533</v>
      </c>
      <c r="F4474" s="294"/>
      <c r="G4474" s="372" t="str">
        <f>"("&amp;B4474&amp;")"&amp;D4474</f>
        <v>(2)调整本期期初未分配利润明细情况</v>
      </c>
      <c r="H4474" s="1517" t="str">
        <f>$A4474</f>
        <v>4200b</v>
      </c>
      <c r="I4474" s="343" t="s">
        <v>5981</v>
      </c>
      <c r="J4474" s="301" t="s">
        <v>5980</v>
      </c>
      <c r="K4474" s="2210">
        <f>H4483</f>
        <v>0</v>
      </c>
      <c r="L4474" s="345"/>
      <c r="M4474" s="301"/>
      <c r="N4474" s="3084"/>
      <c r="O4474" s="315"/>
      <c r="P4474" s="301"/>
      <c r="S4474" s="364"/>
      <c r="Z4474" s="609" t="s">
        <v>4188</v>
      </c>
      <c r="AA4474" s="609" t="s">
        <v>5703</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5703</v>
      </c>
    </row>
    <row r="4476" spans="1:27" ht="26">
      <c r="A4476" s="2714"/>
      <c r="B4476" s="371"/>
      <c r="C4476" s="371"/>
      <c r="D4476" s="371"/>
      <c r="E4476" s="586" t="s">
        <v>2749</v>
      </c>
      <c r="F4476" s="363"/>
      <c r="G4476" s="2435" t="s">
        <v>1826</v>
      </c>
      <c r="H4476" s="2436" t="s">
        <v>4201</v>
      </c>
      <c r="I4476" s="355" t="s">
        <v>6142</v>
      </c>
      <c r="J4476" s="291"/>
      <c r="K4476" s="291"/>
      <c r="L4476" s="291"/>
      <c r="S4476" s="364"/>
      <c r="Z4476" s="609" t="s">
        <v>4188</v>
      </c>
      <c r="AA4476" s="609" t="s">
        <v>5703</v>
      </c>
    </row>
    <row r="4477" spans="1:27" ht="26">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5703</v>
      </c>
    </row>
    <row r="4478" spans="1:27" ht="17">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5703</v>
      </c>
    </row>
    <row r="4479" spans="1:27" ht="17">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5703</v>
      </c>
    </row>
    <row r="4480" spans="1:27" ht="26">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5703</v>
      </c>
    </row>
    <row r="4481" spans="1:27" ht="17">
      <c r="A4481" s="2714"/>
      <c r="B4481" s="371">
        <v>105</v>
      </c>
      <c r="C4481" s="371"/>
      <c r="D4481" s="2716">
        <f t="shared" si="504"/>
        <v>1</v>
      </c>
      <c r="E4481" s="2721">
        <v>1</v>
      </c>
      <c r="F4481" s="294"/>
      <c r="G4481" s="1474" t="s">
        <v>6089</v>
      </c>
      <c r="H4481" s="2296"/>
      <c r="I4481" s="291"/>
      <c r="J4481" s="291"/>
      <c r="K4481" s="291"/>
      <c r="L4481" s="291"/>
      <c r="S4481" s="364"/>
      <c r="Z4481" s="609" t="s">
        <v>4188</v>
      </c>
      <c r="AA4481" s="609" t="s">
        <v>5703</v>
      </c>
    </row>
    <row r="4482" spans="1:27" ht="17">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5703</v>
      </c>
    </row>
    <row r="4483" spans="1:27" ht="1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5703</v>
      </c>
    </row>
    <row r="4484" spans="1:27" ht="17">
      <c r="A4484" s="2714"/>
      <c r="B4484" s="371"/>
      <c r="C4484" s="371" t="s">
        <v>2755</v>
      </c>
      <c r="D4484" s="371"/>
      <c r="F4484" s="294"/>
      <c r="G4484" s="301"/>
      <c r="H4484" s="315"/>
      <c r="I4484" s="291"/>
      <c r="J4484" s="291"/>
      <c r="K4484" s="291"/>
      <c r="L4484" s="291"/>
      <c r="S4484" s="364"/>
      <c r="Z4484" s="609" t="s">
        <v>4188</v>
      </c>
      <c r="AA4484" s="609" t="s">
        <v>5703</v>
      </c>
    </row>
    <row r="4485" spans="1:27" ht="17">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7">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0</v>
      </c>
      <c r="L4486" s="541"/>
      <c r="M4486" s="540" t="s">
        <v>4207</v>
      </c>
      <c r="N4486" s="341">
        <f>VLOOKUP($A4486,Sheet_Trialbal,10,0)</f>
        <v>0</v>
      </c>
      <c r="O4486" s="542"/>
      <c r="S4486" s="364"/>
      <c r="Z4486" s="609" t="s">
        <v>4208</v>
      </c>
      <c r="AA4486" s="609" t="s">
        <v>4212</v>
      </c>
    </row>
    <row r="4487" spans="1:27" ht="17">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5704</v>
      </c>
    </row>
    <row r="4488" spans="1:27" ht="26">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0</v>
      </c>
      <c r="L4488" s="349" t="str">
        <f>IF($I4488="适用",IF(ROUND(K$4485-K4488,2)=0,"F/S",ROUND(K$4485-K4488,2)),"#N/A")</f>
        <v>F/S</v>
      </c>
      <c r="M4488" s="301" t="s">
        <v>4211</v>
      </c>
      <c r="N4488" s="2210">
        <f>I4496</f>
        <v>0</v>
      </c>
      <c r="O4488" s="349" t="str">
        <f>IF($I4488="适用",IF(ROUND(N$4485-N4488,2)=0,"F/S",ROUND(N$4485-N4488,2)),"#N/A")</f>
        <v>F/S</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170" t="s">
        <v>2870</v>
      </c>
      <c r="H4491" s="3202" t="str">
        <f>$V$4</f>
        <v>2019年度</v>
      </c>
      <c r="I4491" s="3227"/>
      <c r="J4491" s="3202" t="str">
        <f>$V$5</f>
        <v>2018年度</v>
      </c>
      <c r="K4491" s="3228"/>
      <c r="L4491" s="355" t="s">
        <v>5327</v>
      </c>
      <c r="M4491" s="433"/>
      <c r="N4491" s="428"/>
      <c r="O4491" s="428"/>
      <c r="P4491" s="433"/>
      <c r="Q4491" s="442"/>
      <c r="R4491" s="443"/>
      <c r="S4491" s="364"/>
      <c r="Z4491" s="609" t="s">
        <v>4205</v>
      </c>
      <c r="AA4491" s="609" t="s">
        <v>4212</v>
      </c>
    </row>
    <row r="4492" spans="1:27" ht="17">
      <c r="A4492" s="2714"/>
      <c r="B4492" s="371"/>
      <c r="C4492" s="371"/>
      <c r="D4492" s="2716"/>
      <c r="E4492" s="586" t="s">
        <v>2749</v>
      </c>
      <c r="F4492" s="414"/>
      <c r="G4492" s="3171"/>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7">
      <c r="A4493" s="2714"/>
      <c r="B4493" s="371">
        <v>101</v>
      </c>
      <c r="C4493" s="371"/>
      <c r="D4493" s="2716">
        <f>IF(OR(G4493="*",G4493="",G4493=0),0,COUNTIF($G$4493:$G$4496,G4493))</f>
        <v>1</v>
      </c>
      <c r="E4493" s="2721">
        <v>1</v>
      </c>
      <c r="F4493" s="293"/>
      <c r="G4493" s="1474" t="s">
        <v>4219</v>
      </c>
      <c r="H4493" s="1476">
        <f>H4502</f>
        <v>0</v>
      </c>
      <c r="I4493" s="1476">
        <f>H4511</f>
        <v>0</v>
      </c>
      <c r="J4493" s="1476">
        <f>I4502</f>
        <v>0</v>
      </c>
      <c r="K4493" s="1477">
        <f>I4511</f>
        <v>0</v>
      </c>
      <c r="L4493" s="355" t="s">
        <v>5360</v>
      </c>
      <c r="M4493" s="438"/>
      <c r="N4493" s="439"/>
      <c r="O4493" s="437"/>
      <c r="P4493" s="438"/>
      <c r="Q4493" s="442"/>
      <c r="R4493" s="443"/>
      <c r="S4493" s="364"/>
      <c r="Z4493" s="609" t="s">
        <v>4205</v>
      </c>
      <c r="AA4493" s="609" t="s">
        <v>4212</v>
      </c>
    </row>
    <row r="4494" spans="1:27" ht="17">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5360</v>
      </c>
      <c r="M4494" s="438"/>
      <c r="N4494" s="439"/>
      <c r="O4494" s="437"/>
      <c r="P4494" s="438"/>
      <c r="Q4494" s="442"/>
      <c r="R4494" s="443"/>
      <c r="S4494" s="364"/>
      <c r="Z4494" s="609" t="s">
        <v>4205</v>
      </c>
      <c r="AA4494" s="609" t="s">
        <v>4212</v>
      </c>
    </row>
    <row r="4495" spans="1:27" ht="17">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7.5" thickBot="1">
      <c r="A4496" s="2714"/>
      <c r="B4496" s="371"/>
      <c r="C4496" s="371"/>
      <c r="D4496" s="2716">
        <f>IF(OR(G4496="*",G4496="",G4496=0),0,COUNTIF($G$4493:$G$4496,G4496))</f>
        <v>1</v>
      </c>
      <c r="E4496" s="2721" t="s">
        <v>2751</v>
      </c>
      <c r="F4496" s="293"/>
      <c r="G4496" s="374" t="s">
        <v>2752</v>
      </c>
      <c r="H4496" s="1478">
        <f>SUMPRODUCT($E4492:$E4495,H4492:H4495)</f>
        <v>0</v>
      </c>
      <c r="I4496" s="1478">
        <f>SUMPRODUCT($E4492:$E4495,I4492:I4495)</f>
        <v>0</v>
      </c>
      <c r="J4496" s="1478">
        <f>SUMPRODUCT($E4492:$E4495,J4492:J4495)</f>
        <v>0</v>
      </c>
      <c r="K4496" s="1479">
        <f>SUMPRODUCT($E4492:$E4495,K4492:K4495)</f>
        <v>0</v>
      </c>
      <c r="L4496" s="437"/>
      <c r="M4496" s="440"/>
      <c r="N4496" s="439"/>
      <c r="O4496" s="437"/>
      <c r="P4496" s="440"/>
      <c r="Q4496" s="442"/>
      <c r="R4496" s="443"/>
      <c r="S4496" s="364"/>
      <c r="Z4496" s="609" t="s">
        <v>4205</v>
      </c>
      <c r="AA4496" s="609" t="s">
        <v>4212</v>
      </c>
    </row>
    <row r="4497" spans="1:29" ht="17">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7">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0</v>
      </c>
      <c r="L4498" s="345" t="str">
        <f>IF($I4498="适用",IF(ROUND(K$4486-K4498,2)=0,"F/S",ROUND(K$4486-K4498,2)),"#N/A")</f>
        <v>F/S</v>
      </c>
      <c r="M4498" s="301" t="s">
        <v>4211</v>
      </c>
      <c r="N4498" s="2210">
        <f>I4505</f>
        <v>0</v>
      </c>
      <c r="O4498" s="345" t="str">
        <f>IF($I4498="适用",IF(ROUND(N$4486-N4498,2)=0,"F/S",ROUND(N$4486-N4498,2)),"#N/A")</f>
        <v>F/S</v>
      </c>
      <c r="P4498" s="301"/>
      <c r="Q4498" s="290" t="str">
        <f>IF($I4498="不适用","",IF(ROUND(SUM($H$4501:$I$4505),2)=0,"请输入",""))</f>
        <v>请输入</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7">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7">
      <c r="A4501" s="2714"/>
      <c r="B4501" s="371">
        <v>101</v>
      </c>
      <c r="C4501" s="371"/>
      <c r="D4501" s="2716">
        <f>IF(OR(G4501="*",G4501="",G4501=0),0,COUNTIF($G$4501:$G$4505,G4501))</f>
        <v>1</v>
      </c>
      <c r="E4501" s="2721">
        <v>0</v>
      </c>
      <c r="F4501" s="294"/>
      <c r="G4501" s="1474" t="s">
        <v>631</v>
      </c>
      <c r="H4501" s="1476">
        <f>SUM(H4502:H4504)</f>
        <v>0</v>
      </c>
      <c r="I4501" s="1477">
        <f>SUM(I4502:I4504)</f>
        <v>0</v>
      </c>
      <c r="J4501" s="291"/>
      <c r="K4501" s="291"/>
      <c r="L4501" s="291"/>
      <c r="M4501" s="291"/>
      <c r="S4501" s="364"/>
      <c r="Z4501" s="609" t="s">
        <v>4221</v>
      </c>
      <c r="AA4501" s="609" t="s">
        <v>4212</v>
      </c>
    </row>
    <row r="4502" spans="1:29" ht="17">
      <c r="A4502" s="2714"/>
      <c r="B4502" s="371">
        <v>102</v>
      </c>
      <c r="C4502" s="371"/>
      <c r="D4502" s="2716">
        <f>IF(OR(G4502="*",G4502="",G4502=0),0,COUNTIF($G$4501:$G$4505,G4502))</f>
        <v>1</v>
      </c>
      <c r="E4502" s="2721">
        <v>1</v>
      </c>
      <c r="F4502" s="294"/>
      <c r="G4502" s="1474" t="s">
        <v>4225</v>
      </c>
      <c r="H4502" s="2275"/>
      <c r="I4502" s="2296"/>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6575</v>
      </c>
    </row>
    <row r="4503" spans="1:29" ht="17">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7">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7.5" thickBot="1">
      <c r="A4505" s="2714"/>
      <c r="B4505" s="371"/>
      <c r="C4505" s="371"/>
      <c r="D4505" s="2716">
        <f>IF(OR(G4505="*",G4505="",G4505=0),0,COUNTIF($G$4501:$G$4505,G4505))</f>
        <v>1</v>
      </c>
      <c r="E4505" s="2721" t="s">
        <v>2751</v>
      </c>
      <c r="F4505" s="294"/>
      <c r="G4505" s="374" t="s">
        <v>2752</v>
      </c>
      <c r="H4505" s="1478">
        <f>SUMPRODUCT($E4500:$E4504,H4500:H4504)</f>
        <v>0</v>
      </c>
      <c r="I4505" s="1479">
        <f>SUMPRODUCT($E4500:$E4504,I4500:I4504)</f>
        <v>0</v>
      </c>
      <c r="J4505" s="291"/>
      <c r="K4505" s="291"/>
      <c r="L4505" s="291"/>
      <c r="M4505" s="291"/>
      <c r="S4505" s="364"/>
      <c r="Z4505" s="609" t="s">
        <v>4221</v>
      </c>
      <c r="AA4505" s="609" t="s">
        <v>4212</v>
      </c>
    </row>
    <row r="4506" spans="1:29" ht="17">
      <c r="A4506" s="2714"/>
      <c r="B4506" s="371"/>
      <c r="C4506" s="371" t="s">
        <v>2755</v>
      </c>
      <c r="D4506" s="371"/>
      <c r="F4506" s="294"/>
      <c r="G4506" s="301"/>
      <c r="H4506" s="315"/>
      <c r="I4506" s="315"/>
      <c r="J4506" s="291"/>
      <c r="K4506" s="291"/>
      <c r="L4506" s="291"/>
      <c r="M4506" s="291"/>
      <c r="S4506" s="364"/>
      <c r="Z4506" s="609" t="s">
        <v>4221</v>
      </c>
      <c r="AA4506" s="609" t="s">
        <v>4212</v>
      </c>
    </row>
    <row r="4507" spans="1:29" ht="17">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0</v>
      </c>
      <c r="L4507" s="345" t="str">
        <f>IF($I4507="适用",IF(ROUND(K$4487-K4507,2)=0,"F/S",ROUND(K$4487-K4507,2)),"#N/A")</f>
        <v>F/S</v>
      </c>
      <c r="M4507" s="301" t="s">
        <v>4211</v>
      </c>
      <c r="N4507" s="2210">
        <f>I4514</f>
        <v>0</v>
      </c>
      <c r="O4507" s="345" t="str">
        <f>IF($I4507="适用",IF(ROUND(N$4487-N4507,2)=0,"F/S",ROUND(N$4487-N4507,2)),"#N/A")</f>
        <v>F/S</v>
      </c>
      <c r="P4507" s="301"/>
      <c r="Q4507" s="290" t="str">
        <f>IF($I4507="不适用","",IF(ROUND(SUM($H$4510:$I$4514),2)=0,"请输入",""))</f>
        <v>请输入</v>
      </c>
      <c r="S4507" s="364"/>
      <c r="Z4507" s="609" t="s">
        <v>4221</v>
      </c>
      <c r="AA4507" s="609" t="s">
        <v>5704</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5704</v>
      </c>
    </row>
    <row r="4509" spans="1:29" ht="17">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5704</v>
      </c>
    </row>
    <row r="4510" spans="1:29" ht="17">
      <c r="A4510" s="2714"/>
      <c r="B4510" s="371">
        <v>101</v>
      </c>
      <c r="C4510" s="371"/>
      <c r="D4510" s="2716">
        <f>IF(OR(G4510="*",G4510="",G4510=0),0,COUNTIF($G$4510:$G$4514,G4510))</f>
        <v>1</v>
      </c>
      <c r="E4510" s="2721">
        <v>0</v>
      </c>
      <c r="F4510" s="294"/>
      <c r="G4510" s="1474" t="s">
        <v>671</v>
      </c>
      <c r="H4510" s="1476">
        <f>SUM(H4511:H4513)</f>
        <v>0</v>
      </c>
      <c r="I4510" s="1477">
        <f>SUM(I4511:I4513)</f>
        <v>0</v>
      </c>
      <c r="J4510" s="291"/>
      <c r="K4510" s="291"/>
      <c r="L4510" s="291"/>
      <c r="M4510" s="291"/>
      <c r="S4510" s="364"/>
      <c r="Z4510" s="609" t="s">
        <v>4221</v>
      </c>
      <c r="AA4510" s="609" t="s">
        <v>5704</v>
      </c>
    </row>
    <row r="4511" spans="1:29" ht="17">
      <c r="A4511" s="2714"/>
      <c r="B4511" s="371">
        <v>102</v>
      </c>
      <c r="C4511" s="371"/>
      <c r="D4511" s="2716">
        <f>IF(OR(G4511="*",G4511="",G4511=0),0,COUNTIF($G$4510:$G$4514,G4511))</f>
        <v>1</v>
      </c>
      <c r="E4511" s="2721">
        <v>1</v>
      </c>
      <c r="F4511" s="294"/>
      <c r="G4511" s="1474" t="s">
        <v>4228</v>
      </c>
      <c r="H4511" s="2275"/>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5704</v>
      </c>
      <c r="AC4511" s="369" t="s">
        <v>6575</v>
      </c>
    </row>
    <row r="4512" spans="1:29" ht="17">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5704</v>
      </c>
    </row>
    <row r="4513" spans="1:27" ht="17">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5704</v>
      </c>
    </row>
    <row r="4514" spans="1:27" ht="17.5" thickBot="1">
      <c r="A4514" s="2714"/>
      <c r="B4514" s="371"/>
      <c r="C4514" s="371"/>
      <c r="D4514" s="2716">
        <f>IF(OR(G4514="*",G4514="",G4514=0),0,COUNTIF($G$4510:$G$4514,G4514))</f>
        <v>1</v>
      </c>
      <c r="E4514" s="2721" t="s">
        <v>2751</v>
      </c>
      <c r="F4514" s="294"/>
      <c r="G4514" s="374" t="s">
        <v>2752</v>
      </c>
      <c r="H4514" s="1478">
        <f>SUMPRODUCT($E4509:$E4513,H4509:H4513)</f>
        <v>0</v>
      </c>
      <c r="I4514" s="1479">
        <f>SUMPRODUCT($E4509:$E4513,I4509:I4513)</f>
        <v>0</v>
      </c>
      <c r="J4514" s="291"/>
      <c r="K4514" s="291"/>
      <c r="L4514" s="291"/>
      <c r="M4514" s="291"/>
      <c r="S4514" s="364"/>
      <c r="Z4514" s="609" t="s">
        <v>4221</v>
      </c>
      <c r="AA4514" s="609" t="s">
        <v>5704</v>
      </c>
    </row>
    <row r="4515" spans="1:27" ht="17">
      <c r="A4515" s="2714"/>
      <c r="B4515" s="371"/>
      <c r="C4515" s="371" t="s">
        <v>2755</v>
      </c>
      <c r="D4515" s="371"/>
      <c r="F4515" s="294"/>
      <c r="G4515" s="301"/>
      <c r="H4515" s="315"/>
      <c r="I4515" s="315"/>
      <c r="J4515" s="291"/>
      <c r="K4515" s="291"/>
      <c r="L4515" s="291"/>
      <c r="M4515" s="291"/>
      <c r="S4515" s="364"/>
      <c r="Z4515" s="609" t="s">
        <v>4221</v>
      </c>
      <c r="AA4515" s="609" t="s">
        <v>5704</v>
      </c>
    </row>
    <row r="4516" spans="1:27" ht="26">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0</v>
      </c>
      <c r="L4516" s="345" t="str">
        <f>IF($I4516="适用",IF(ROUND(H$4502-H$4511-K4516,2)=0,"F/S",ROUND(H$4502-H$4511-K4516,2)),"#N/A")</f>
        <v>F/S</v>
      </c>
      <c r="M4516" s="301" t="s">
        <v>4211</v>
      </c>
      <c r="N4516" s="2210">
        <f>J4531-K4531</f>
        <v>0</v>
      </c>
      <c r="O4516" s="345" t="str">
        <f>IF($I4516="适用",IF(ROUND(I$4502-I$4511-N4516,2)=0,"F/S",ROUND(I$4502-I$4511-N4516,2)),"#N/A")</f>
        <v>F/S</v>
      </c>
      <c r="P4516" s="301"/>
      <c r="Q4516" s="290" t="str">
        <f>IF($I4516="不适用","",IF(ROUND(SUM($H$4521:$K$4531),2)=0,"请输入",""))</f>
        <v>请输入</v>
      </c>
      <c r="S4516" s="364"/>
      <c r="Z4516" s="609" t="s">
        <v>4221</v>
      </c>
      <c r="AA4516" s="609" t="s">
        <v>6579</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6579</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6579</v>
      </c>
    </row>
    <row r="4519" spans="1:27" ht="17">
      <c r="A4519" s="2714"/>
      <c r="B4519" s="371"/>
      <c r="C4519" s="371"/>
      <c r="D4519" s="371"/>
      <c r="E4519" s="586" t="s">
        <v>2749</v>
      </c>
      <c r="F4519" s="363"/>
      <c r="G4519" s="3145" t="s">
        <v>6090</v>
      </c>
      <c r="H4519" s="3149" t="str">
        <f>$V$4</f>
        <v>2019年度</v>
      </c>
      <c r="I4519" s="3254"/>
      <c r="J4519" s="3149" t="str">
        <f>$V$5</f>
        <v>2018年度</v>
      </c>
      <c r="K4519" s="3226"/>
      <c r="L4519" s="355" t="s">
        <v>5327</v>
      </c>
      <c r="M4519" s="291"/>
      <c r="N4519" s="291"/>
      <c r="O4519" s="291"/>
      <c r="S4519" s="364"/>
      <c r="Z4519" s="609" t="s">
        <v>4221</v>
      </c>
      <c r="AA4519" s="609" t="s">
        <v>6579</v>
      </c>
    </row>
    <row r="4520" spans="1:27" ht="17">
      <c r="A4520" s="2714"/>
      <c r="B4520" s="371"/>
      <c r="C4520" s="371"/>
      <c r="D4520" s="371"/>
      <c r="E4520" s="586" t="s">
        <v>2749</v>
      </c>
      <c r="F4520" s="363"/>
      <c r="G4520" s="3146"/>
      <c r="H4520" s="2443" t="s">
        <v>4218</v>
      </c>
      <c r="I4520" s="2443" t="s">
        <v>3411</v>
      </c>
      <c r="J4520" s="2443" t="s">
        <v>4218</v>
      </c>
      <c r="K4520" s="2450" t="s">
        <v>3411</v>
      </c>
      <c r="L4520" s="291"/>
      <c r="M4520" s="291"/>
      <c r="N4520" s="291"/>
      <c r="O4520" s="291"/>
      <c r="S4520" s="364"/>
      <c r="Z4520" s="609" t="s">
        <v>4221</v>
      </c>
      <c r="AA4520" s="609" t="s">
        <v>6579</v>
      </c>
    </row>
    <row r="4521" spans="1:27" ht="17">
      <c r="A4521" s="2714"/>
      <c r="B4521" s="371">
        <v>101</v>
      </c>
      <c r="C4521" s="371" t="s">
        <v>2791</v>
      </c>
      <c r="D4521" s="2716">
        <f t="shared" ref="D4521:D4531" si="505">IF(OR(G4521="*",G4521="",G4521=0),0,COUNTIF($G$4521:$G$4531,G4521))</f>
        <v>0</v>
      </c>
      <c r="E4521" s="2721">
        <v>1</v>
      </c>
      <c r="F4521" s="294"/>
      <c r="G4521" s="2448" t="s">
        <v>2792</v>
      </c>
      <c r="H4521" s="2275"/>
      <c r="I4521" s="2275"/>
      <c r="J4521" s="2275"/>
      <c r="K4521" s="2296"/>
      <c r="L4521" s="291"/>
      <c r="M4521" s="291"/>
      <c r="N4521" s="291"/>
      <c r="O4521" s="291"/>
      <c r="S4521" s="364"/>
      <c r="Z4521" s="609" t="s">
        <v>4221</v>
      </c>
      <c r="AA4521" s="609" t="s">
        <v>6579</v>
      </c>
    </row>
    <row r="4522" spans="1:27" ht="17">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6579</v>
      </c>
    </row>
    <row r="4523" spans="1:27" ht="17">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6579</v>
      </c>
    </row>
    <row r="4524" spans="1:27" ht="17">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6579</v>
      </c>
    </row>
    <row r="4525" spans="1:27" ht="17">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6579</v>
      </c>
    </row>
    <row r="4526" spans="1:27" ht="17">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6579</v>
      </c>
    </row>
    <row r="4527" spans="1:27" ht="17">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6579</v>
      </c>
    </row>
    <row r="4528" spans="1:27" ht="17">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6579</v>
      </c>
    </row>
    <row r="4529" spans="1:27" ht="17">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6579</v>
      </c>
    </row>
    <row r="4530" spans="1:27" ht="17">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6579</v>
      </c>
    </row>
    <row r="4531" spans="1:27" ht="17.5" thickBot="1">
      <c r="A4531" s="2714"/>
      <c r="B4531" s="371"/>
      <c r="C4531" s="371"/>
      <c r="D4531" s="2716">
        <f t="shared" si="505"/>
        <v>1</v>
      </c>
      <c r="E4531" s="2721" t="s">
        <v>2751</v>
      </c>
      <c r="F4531" s="294"/>
      <c r="G4531" s="2234" t="s">
        <v>2752</v>
      </c>
      <c r="H4531" s="2235">
        <f>SUMPRODUCT($E4520:$E4530,H4520:H4530)</f>
        <v>0</v>
      </c>
      <c r="I4531" s="2235">
        <f>SUMPRODUCT($E4520:$E4530,I4520:I4530)</f>
        <v>0</v>
      </c>
      <c r="J4531" s="2235">
        <f>SUMPRODUCT($E4520:$E4530,J4520:J4530)</f>
        <v>0</v>
      </c>
      <c r="K4531" s="2236">
        <f>SUMPRODUCT($E4520:$E4530,K4520:K4530)</f>
        <v>0</v>
      </c>
      <c r="L4531" s="291"/>
      <c r="M4531" s="291"/>
      <c r="N4531" s="291"/>
      <c r="O4531" s="291"/>
      <c r="S4531" s="364"/>
      <c r="Z4531" s="609" t="s">
        <v>4221</v>
      </c>
      <c r="AA4531" s="609" t="s">
        <v>6579</v>
      </c>
    </row>
    <row r="4532" spans="1:27" ht="1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6579</v>
      </c>
    </row>
    <row r="4533" spans="1:27" ht="1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6579</v>
      </c>
    </row>
    <row r="4534" spans="1:27" ht="17">
      <c r="A4534" s="2714"/>
      <c r="B4534" s="371"/>
      <c r="C4534" s="371" t="s">
        <v>2565</v>
      </c>
      <c r="D4534" s="371"/>
      <c r="F4534" s="294"/>
      <c r="G4534" s="316" t="str">
        <f>$G$4502</f>
        <v>其中：主营业务收入</v>
      </c>
      <c r="H4534" s="2252">
        <f ca="1">HYPERLINK("#'"&amp;$G$1&amp;"'!"&amp;ADDRESS(ROW(Notes!H4502),COLUMN(Notes!H4502),4),$H$4502)</f>
        <v>0</v>
      </c>
      <c r="I4534" s="2252">
        <f ca="1">HYPERLINK("#'"&amp;$G$1&amp;"'!"&amp;ADDRESS(ROW(Notes!H4511),COLUMN(Notes!H4511),4),$H$4511)</f>
        <v>0</v>
      </c>
      <c r="J4534" s="2252">
        <f ca="1">HYPERLINK("#'"&amp;$G$1&amp;"'!"&amp;ADDRESS(ROW(Notes!I4502),COLUMN(Notes!I4502),4),$I$4502)</f>
        <v>0</v>
      </c>
      <c r="K4534" s="2252">
        <f ca="1">HYPERLINK("#'"&amp;$G$1&amp;"'!"&amp;ADDRESS(ROW(Notes!I4511),COLUMN(Notes!I4511),4),$I$4511)</f>
        <v>0</v>
      </c>
      <c r="L4534" s="291"/>
      <c r="M4534" s="291"/>
      <c r="N4534" s="291"/>
      <c r="O4534" s="291"/>
      <c r="S4534" s="364"/>
      <c r="Z4534" s="609" t="s">
        <v>4221</v>
      </c>
      <c r="AA4534" s="609" t="s">
        <v>6579</v>
      </c>
    </row>
    <row r="4535" spans="1:27" ht="17">
      <c r="A4535" s="2714"/>
      <c r="B4535" s="371"/>
      <c r="C4535" s="371" t="s">
        <v>2565</v>
      </c>
      <c r="D4535" s="371"/>
      <c r="F4535" s="294"/>
      <c r="G4535" s="316" t="s">
        <v>3003</v>
      </c>
      <c r="H4535" s="2252">
        <f ca="1">HYPERLINK("#'"&amp;$G$1&amp;"'!"&amp;ADDRESS(ROW(Notes!H4531),COLUMN(Notes!H4531),4),H4531)</f>
        <v>0</v>
      </c>
      <c r="I4535" s="2252">
        <f ca="1">HYPERLINK("#'"&amp;$G$1&amp;"'!"&amp;ADDRESS(ROW(Notes!I4531),COLUMN(Notes!I4531),4),I4531)</f>
        <v>0</v>
      </c>
      <c r="J4535" s="2252">
        <f ca="1">HYPERLINK("#'"&amp;$G$1&amp;"'!"&amp;ADDRESS(ROW(Notes!J4531),COLUMN(Notes!J4531),4),J4531)</f>
        <v>0</v>
      </c>
      <c r="K4535" s="2252">
        <f ca="1">HYPERLINK("#'"&amp;$G$1&amp;"'!"&amp;ADDRESS(ROW(Notes!K4531),COLUMN(Notes!K4531),4),K4531)</f>
        <v>0</v>
      </c>
      <c r="L4535" s="291"/>
      <c r="M4535" s="291"/>
      <c r="N4535" s="291"/>
      <c r="O4535" s="291"/>
      <c r="S4535" s="364"/>
      <c r="Z4535" s="609" t="s">
        <v>4221</v>
      </c>
      <c r="AA4535" s="609" t="s">
        <v>6579</v>
      </c>
    </row>
    <row r="4536" spans="1:27" ht="1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6579</v>
      </c>
    </row>
    <row r="4537" spans="1:27" ht="1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6579</v>
      </c>
    </row>
    <row r="4538" spans="1:27" ht="17">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6579</v>
      </c>
    </row>
    <row r="4539" spans="1:27" ht="17">
      <c r="A4539" s="2714"/>
      <c r="B4539" s="371"/>
      <c r="C4539" s="371" t="s">
        <v>2565</v>
      </c>
      <c r="D4539" s="371"/>
      <c r="F4539" s="294"/>
      <c r="G4539" s="354"/>
      <c r="H4539" s="461"/>
      <c r="I4539" s="461"/>
      <c r="J4539" s="461"/>
      <c r="K4539" s="461"/>
      <c r="L4539" s="291"/>
      <c r="M4539" s="291"/>
      <c r="N4539" s="291"/>
      <c r="O4539" s="291"/>
      <c r="S4539" s="364"/>
      <c r="Z4539" s="609" t="s">
        <v>4221</v>
      </c>
      <c r="AA4539" s="609" t="s">
        <v>6579</v>
      </c>
    </row>
    <row r="4540" spans="1:27" ht="17">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0</v>
      </c>
      <c r="L4540" s="345" t="str">
        <f>IF($I4540="适用",IF(ROUND(H$4502-H$4511-K4540,2)=0,"F/S",ROUND(H$4502-H$4511-K4540,2)),"#N/A")</f>
        <v>F/S</v>
      </c>
      <c r="M4540" s="301" t="s">
        <v>4211</v>
      </c>
      <c r="N4540" s="2210">
        <f>J4554-K4554</f>
        <v>0</v>
      </c>
      <c r="O4540" s="345" t="str">
        <f>IF($I4540="适用",IF(ROUND(I$4502-I$4511-N4540,2)=0,"F/S",ROUND(I$4502-I$4511-N4540,2)),"#N/A")</f>
        <v>F/S</v>
      </c>
      <c r="P4540" s="301"/>
      <c r="Q4540" s="290" t="str">
        <f>IF($I4540="不适用","",IF(ROUND(SUM($H$4545:$K$4554),2)=0,"请输入",""))</f>
        <v>请输入</v>
      </c>
      <c r="S4540" s="364"/>
      <c r="Z4540" s="609" t="s">
        <v>4221</v>
      </c>
      <c r="AA4540" s="609" t="s">
        <v>6579</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6579</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6579</v>
      </c>
    </row>
    <row r="4543" spans="1:27" ht="17">
      <c r="A4543" s="2714"/>
      <c r="B4543" s="371"/>
      <c r="C4543" s="371"/>
      <c r="D4543" s="371"/>
      <c r="E4543" s="586" t="s">
        <v>2749</v>
      </c>
      <c r="F4543" s="363"/>
      <c r="G4543" s="3145" t="s">
        <v>1861</v>
      </c>
      <c r="H4543" s="3149" t="str">
        <f>$V$4</f>
        <v>2019年度</v>
      </c>
      <c r="I4543" s="3254"/>
      <c r="J4543" s="3149" t="str">
        <f>$V$5</f>
        <v>2018年度</v>
      </c>
      <c r="K4543" s="3226"/>
      <c r="L4543" s="355" t="s">
        <v>5327</v>
      </c>
      <c r="M4543" s="291"/>
      <c r="N4543" s="291"/>
      <c r="O4543" s="291"/>
      <c r="S4543" s="364"/>
      <c r="Z4543" s="609" t="s">
        <v>4221</v>
      </c>
      <c r="AA4543" s="609" t="s">
        <v>6579</v>
      </c>
    </row>
    <row r="4544" spans="1:27" ht="17">
      <c r="A4544" s="2714"/>
      <c r="B4544" s="371"/>
      <c r="C4544" s="371"/>
      <c r="D4544" s="371"/>
      <c r="E4544" s="586" t="s">
        <v>2749</v>
      </c>
      <c r="F4544" s="363"/>
      <c r="G4544" s="3146"/>
      <c r="H4544" s="2443" t="s">
        <v>4218</v>
      </c>
      <c r="I4544" s="2443" t="s">
        <v>3411</v>
      </c>
      <c r="J4544" s="2443" t="s">
        <v>4218</v>
      </c>
      <c r="K4544" s="2450" t="s">
        <v>3411</v>
      </c>
      <c r="L4544" s="291"/>
      <c r="M4544" s="291"/>
      <c r="N4544" s="291"/>
      <c r="O4544" s="291"/>
      <c r="S4544" s="364"/>
      <c r="Z4544" s="609" t="s">
        <v>4221</v>
      </c>
      <c r="AA4544" s="609" t="s">
        <v>6579</v>
      </c>
    </row>
    <row r="4545" spans="1:27" ht="17">
      <c r="A4545" s="2714"/>
      <c r="B4545" s="371">
        <v>101</v>
      </c>
      <c r="C4545" s="371" t="s">
        <v>2791</v>
      </c>
      <c r="D4545" s="2716">
        <f t="shared" ref="D4545:D4554" si="506">IF(OR(G4545="*",G4545="",G4545=0),0,COUNTIF($G$4545:$G$4554,G4545))</f>
        <v>0</v>
      </c>
      <c r="E4545" s="2721">
        <v>1</v>
      </c>
      <c r="F4545" s="294"/>
      <c r="G4545" s="2448" t="s">
        <v>2792</v>
      </c>
      <c r="H4545" s="2275"/>
      <c r="I4545" s="2275"/>
      <c r="J4545" s="2275"/>
      <c r="K4545" s="2296"/>
      <c r="L4545" s="291"/>
      <c r="M4545" s="291"/>
      <c r="N4545" s="291"/>
      <c r="O4545" s="291"/>
      <c r="S4545" s="364"/>
      <c r="Z4545" s="609" t="s">
        <v>4221</v>
      </c>
      <c r="AA4545" s="609" t="s">
        <v>6579</v>
      </c>
    </row>
    <row r="4546" spans="1:27" ht="17">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6579</v>
      </c>
    </row>
    <row r="4547" spans="1:27" ht="17">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6579</v>
      </c>
    </row>
    <row r="4548" spans="1:27" ht="17">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6579</v>
      </c>
    </row>
    <row r="4549" spans="1:27" ht="17">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6579</v>
      </c>
    </row>
    <row r="4550" spans="1:27" ht="17">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6579</v>
      </c>
    </row>
    <row r="4551" spans="1:27" ht="17">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6579</v>
      </c>
    </row>
    <row r="4552" spans="1:27" ht="17">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6579</v>
      </c>
    </row>
    <row r="4553" spans="1:27" ht="17">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6579</v>
      </c>
    </row>
    <row r="4554" spans="1:27" ht="17.5" thickBot="1">
      <c r="A4554" s="2714"/>
      <c r="B4554" s="371"/>
      <c r="C4554" s="371"/>
      <c r="D4554" s="2716">
        <f t="shared" si="506"/>
        <v>1</v>
      </c>
      <c r="E4554" s="2721" t="s">
        <v>2751</v>
      </c>
      <c r="F4554" s="294"/>
      <c r="G4554" s="2234" t="s">
        <v>2752</v>
      </c>
      <c r="H4554" s="2235">
        <f>SUMPRODUCT($E4544:$E4553,H4544:H4553)</f>
        <v>0</v>
      </c>
      <c r="I4554" s="2235">
        <f>SUMPRODUCT($E4544:$E4553,I4544:I4553)</f>
        <v>0</v>
      </c>
      <c r="J4554" s="2235">
        <f>SUMPRODUCT($E4544:$E4553,J4544:J4553)</f>
        <v>0</v>
      </c>
      <c r="K4554" s="2236">
        <f>SUMPRODUCT($E4544:$E4553,K4544:K4553)</f>
        <v>0</v>
      </c>
      <c r="L4554" s="291"/>
      <c r="M4554" s="291"/>
      <c r="N4554" s="291"/>
      <c r="O4554" s="291"/>
      <c r="S4554" s="364"/>
      <c r="Z4554" s="609" t="s">
        <v>4221</v>
      </c>
      <c r="AA4554" s="609" t="s">
        <v>6579</v>
      </c>
    </row>
    <row r="4555" spans="1:27" ht="1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6579</v>
      </c>
    </row>
    <row r="4556" spans="1:27" ht="1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6579</v>
      </c>
    </row>
    <row r="4557" spans="1:27" ht="17">
      <c r="A4557" s="2714"/>
      <c r="B4557" s="371"/>
      <c r="C4557" s="371" t="s">
        <v>2565</v>
      </c>
      <c r="D4557" s="371"/>
      <c r="F4557" s="294"/>
      <c r="G4557" s="316" t="str">
        <f>$G$4502</f>
        <v>其中：主营业务收入</v>
      </c>
      <c r="H4557" s="2252">
        <f ca="1">HYPERLINK("#'"&amp;$G$1&amp;"'!"&amp;ADDRESS(ROW(Notes!H4502),COLUMN(Notes!H4502),4),$H$4502)</f>
        <v>0</v>
      </c>
      <c r="I4557" s="2252">
        <f ca="1">HYPERLINK("#'"&amp;$G$1&amp;"'!"&amp;ADDRESS(ROW(Notes!H4511),COLUMN(Notes!H4511),4),$H$4511)</f>
        <v>0</v>
      </c>
      <c r="J4557" s="2252">
        <f ca="1">HYPERLINK("#'"&amp;$G$1&amp;"'!"&amp;ADDRESS(ROW(Notes!I4502),COLUMN(Notes!I4502),4),$I$4502)</f>
        <v>0</v>
      </c>
      <c r="K4557" s="2252">
        <f ca="1">HYPERLINK("#'"&amp;$G$1&amp;"'!"&amp;ADDRESS(ROW(Notes!I4511),COLUMN(Notes!I4511),4),$I$4511)</f>
        <v>0</v>
      </c>
      <c r="L4557" s="291"/>
      <c r="M4557" s="291"/>
      <c r="N4557" s="291"/>
      <c r="O4557" s="291"/>
      <c r="S4557" s="364"/>
      <c r="Z4557" s="609" t="s">
        <v>4221</v>
      </c>
      <c r="AA4557" s="609" t="s">
        <v>6579</v>
      </c>
    </row>
    <row r="4558" spans="1:27" ht="17">
      <c r="A4558" s="2714"/>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6579</v>
      </c>
    </row>
    <row r="4559" spans="1:27" ht="1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6579</v>
      </c>
    </row>
    <row r="4560" spans="1:27" ht="1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6579</v>
      </c>
    </row>
    <row r="4561" spans="1:27" ht="17">
      <c r="A4561" s="2714"/>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6579</v>
      </c>
    </row>
    <row r="4562" spans="1:27" ht="17">
      <c r="A4562" s="2714"/>
      <c r="B4562" s="371"/>
      <c r="C4562" s="371" t="s">
        <v>2565</v>
      </c>
      <c r="D4562" s="371"/>
      <c r="F4562" s="294"/>
      <c r="G4562" s="354"/>
      <c r="H4562" s="461"/>
      <c r="I4562" s="461"/>
      <c r="J4562" s="461"/>
      <c r="K4562" s="461"/>
      <c r="L4562" s="291"/>
      <c r="M4562" s="291"/>
      <c r="N4562" s="291"/>
      <c r="O4562" s="291"/>
      <c r="S4562" s="364"/>
      <c r="Z4562" s="609" t="s">
        <v>4221</v>
      </c>
      <c r="AA4562" s="609" t="s">
        <v>6579</v>
      </c>
    </row>
    <row r="4563" spans="1:27" ht="17">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0</v>
      </c>
      <c r="L4563" s="345" t="str">
        <f>IF($I4563="适用",IF(ROUND(H$4502-H$4511-K4563,2)=0,"F/S",ROUND(H$4502-H$4511-K4563,2)),"#N/A")</f>
        <v>F/S</v>
      </c>
      <c r="M4563" s="301" t="s">
        <v>4211</v>
      </c>
      <c r="N4563" s="2210">
        <f>J4573-K4573</f>
        <v>0</v>
      </c>
      <c r="O4563" s="345" t="str">
        <f>IF($I4563="适用",IF(ROUND(I$4502-I$4511-N4563,2)=0,"F/S",ROUND(I$4502-I$4511-N4563,2)),"#N/A")</f>
        <v>F/S</v>
      </c>
      <c r="P4563" s="301"/>
      <c r="Q4563" s="290" t="str">
        <f>IF($I4563="不适用","",IF(ROUND(SUM($H$4568:$K$4573),2)=0,"请输入",""))</f>
        <v>请输入</v>
      </c>
      <c r="S4563" s="364"/>
      <c r="Z4563" s="609" t="s">
        <v>4221</v>
      </c>
      <c r="AA4563" s="609" t="s">
        <v>6579</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6579</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6579</v>
      </c>
    </row>
    <row r="4566" spans="1:27" ht="17">
      <c r="A4566" s="2714"/>
      <c r="B4566" s="371"/>
      <c r="C4566" s="371"/>
      <c r="D4566" s="371"/>
      <c r="E4566" s="586" t="s">
        <v>2749</v>
      </c>
      <c r="F4566" s="363"/>
      <c r="G4566" s="3145" t="s">
        <v>1865</v>
      </c>
      <c r="H4566" s="3149" t="str">
        <f>$V$4</f>
        <v>2019年度</v>
      </c>
      <c r="I4566" s="3254"/>
      <c r="J4566" s="3149" t="str">
        <f>$V$5</f>
        <v>2018年度</v>
      </c>
      <c r="K4566" s="3226"/>
      <c r="L4566" s="355" t="s">
        <v>5327</v>
      </c>
      <c r="M4566" s="291"/>
      <c r="N4566" s="291"/>
      <c r="O4566" s="291"/>
      <c r="S4566" s="364"/>
      <c r="Z4566" s="609" t="s">
        <v>4221</v>
      </c>
      <c r="AA4566" s="609" t="s">
        <v>6579</v>
      </c>
    </row>
    <row r="4567" spans="1:27" ht="17">
      <c r="A4567" s="2714"/>
      <c r="B4567" s="371"/>
      <c r="C4567" s="371"/>
      <c r="D4567" s="371"/>
      <c r="E4567" s="586" t="s">
        <v>2749</v>
      </c>
      <c r="F4567" s="363"/>
      <c r="G4567" s="3146"/>
      <c r="H4567" s="2443" t="s">
        <v>4218</v>
      </c>
      <c r="I4567" s="2443" t="s">
        <v>3411</v>
      </c>
      <c r="J4567" s="2443" t="s">
        <v>4218</v>
      </c>
      <c r="K4567" s="2450" t="s">
        <v>3411</v>
      </c>
      <c r="L4567" s="291"/>
      <c r="M4567" s="291"/>
      <c r="N4567" s="291"/>
      <c r="O4567" s="291"/>
      <c r="S4567" s="364"/>
      <c r="Z4567" s="609" t="s">
        <v>4221</v>
      </c>
      <c r="AA4567" s="609" t="s">
        <v>6579</v>
      </c>
    </row>
    <row r="4568" spans="1:27" ht="17">
      <c r="A4568" s="2714"/>
      <c r="B4568" s="371">
        <v>101</v>
      </c>
      <c r="C4568" s="371" t="s">
        <v>2791</v>
      </c>
      <c r="D4568" s="2716">
        <f t="shared" ref="D4568:D4573" si="507">IF(OR(G4568="*",G4568="",G4568=0),0,COUNTIF($G$4568:$G$4573,G4568))</f>
        <v>0</v>
      </c>
      <c r="E4568" s="2721">
        <v>1</v>
      </c>
      <c r="F4568" s="294"/>
      <c r="G4568" s="2448" t="s">
        <v>2792</v>
      </c>
      <c r="H4568" s="2275"/>
      <c r="I4568" s="2275"/>
      <c r="J4568" s="2275"/>
      <c r="K4568" s="2296"/>
      <c r="L4568" s="291"/>
      <c r="M4568" s="291"/>
      <c r="N4568" s="291"/>
      <c r="O4568" s="291"/>
      <c r="S4568" s="364"/>
      <c r="Z4568" s="609" t="s">
        <v>4221</v>
      </c>
      <c r="AA4568" s="609" t="s">
        <v>6579</v>
      </c>
    </row>
    <row r="4569" spans="1:27" ht="17">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6579</v>
      </c>
    </row>
    <row r="4570" spans="1:27" ht="17">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6579</v>
      </c>
    </row>
    <row r="4571" spans="1:27" ht="17">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6579</v>
      </c>
    </row>
    <row r="4572" spans="1:27" ht="17">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6579</v>
      </c>
    </row>
    <row r="4573" spans="1:27" ht="17.5" thickBot="1">
      <c r="A4573" s="2714"/>
      <c r="B4573" s="371"/>
      <c r="C4573" s="371"/>
      <c r="D4573" s="2716">
        <f t="shared" si="507"/>
        <v>1</v>
      </c>
      <c r="E4573" s="2721" t="s">
        <v>2751</v>
      </c>
      <c r="F4573" s="294"/>
      <c r="G4573" s="2234" t="s">
        <v>2752</v>
      </c>
      <c r="H4573" s="2235">
        <f>SUMPRODUCT($E4567:$E4572,H4567:H4572)</f>
        <v>0</v>
      </c>
      <c r="I4573" s="2235">
        <f>SUMPRODUCT($E4567:$E4572,I4567:I4572)</f>
        <v>0</v>
      </c>
      <c r="J4573" s="2235">
        <f>SUMPRODUCT($E4567:$E4572,J4567:J4572)</f>
        <v>0</v>
      </c>
      <c r="K4573" s="2236">
        <f>SUMPRODUCT($E4567:$E4572,K4567:K4572)</f>
        <v>0</v>
      </c>
      <c r="L4573" s="291"/>
      <c r="M4573" s="291"/>
      <c r="N4573" s="291"/>
      <c r="O4573" s="291"/>
      <c r="S4573" s="364"/>
      <c r="Z4573" s="609" t="s">
        <v>4221</v>
      </c>
      <c r="AA4573" s="609" t="s">
        <v>6579</v>
      </c>
    </row>
    <row r="4574" spans="1:27" ht="1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6579</v>
      </c>
    </row>
    <row r="4575" spans="1:27" ht="1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6579</v>
      </c>
    </row>
    <row r="4576" spans="1:27" ht="17">
      <c r="A4576" s="2714"/>
      <c r="B4576" s="371"/>
      <c r="C4576" s="371" t="s">
        <v>2565</v>
      </c>
      <c r="D4576" s="371"/>
      <c r="F4576" s="294"/>
      <c r="G4576" s="316" t="str">
        <f>$G$4502</f>
        <v>其中：主营业务收入</v>
      </c>
      <c r="H4576" s="2252">
        <f ca="1">HYPERLINK("#'"&amp;$G$1&amp;"'!"&amp;ADDRESS(ROW(Notes!H4502),COLUMN(Notes!H4502),4),$H$4502)</f>
        <v>0</v>
      </c>
      <c r="I4576" s="2252">
        <f ca="1">HYPERLINK("#'"&amp;$G$1&amp;"'!"&amp;ADDRESS(ROW(Notes!H4511),COLUMN(Notes!H4511),4),$H$4511)</f>
        <v>0</v>
      </c>
      <c r="J4576" s="2252">
        <f ca="1">HYPERLINK("#'"&amp;$G$1&amp;"'!"&amp;ADDRESS(ROW(Notes!I4502),COLUMN(Notes!I4502),4),$I$4502)</f>
        <v>0</v>
      </c>
      <c r="K4576" s="2252">
        <f ca="1">HYPERLINK("#'"&amp;$G$1&amp;"'!"&amp;ADDRESS(ROW(Notes!I4511),COLUMN(Notes!I4511),4),$I$4511)</f>
        <v>0</v>
      </c>
      <c r="L4576" s="291"/>
      <c r="M4576" s="291"/>
      <c r="N4576" s="291"/>
      <c r="O4576" s="291"/>
      <c r="S4576" s="364"/>
      <c r="Z4576" s="609" t="s">
        <v>4221</v>
      </c>
      <c r="AA4576" s="609" t="s">
        <v>6579</v>
      </c>
    </row>
    <row r="4577" spans="1:27" ht="17">
      <c r="A4577" s="2714"/>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6579</v>
      </c>
    </row>
    <row r="4578" spans="1:27" ht="1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6579</v>
      </c>
    </row>
    <row r="4579" spans="1:27" ht="1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6579</v>
      </c>
    </row>
    <row r="4580" spans="1:27" ht="17">
      <c r="A4580" s="2714"/>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6579</v>
      </c>
    </row>
    <row r="4581" spans="1:27" ht="17">
      <c r="A4581" s="2714"/>
      <c r="B4581" s="371"/>
      <c r="C4581" s="371" t="s">
        <v>2565</v>
      </c>
      <c r="D4581" s="371"/>
      <c r="F4581" s="294"/>
      <c r="G4581" s="354"/>
      <c r="H4581" s="461"/>
      <c r="I4581" s="461"/>
      <c r="J4581" s="461"/>
      <c r="K4581" s="461"/>
      <c r="L4581" s="291"/>
      <c r="M4581" s="291"/>
      <c r="N4581" s="291"/>
      <c r="O4581" s="291"/>
      <c r="S4581" s="364"/>
      <c r="Z4581" s="609" t="s">
        <v>4221</v>
      </c>
      <c r="AA4581" s="609" t="s">
        <v>6579</v>
      </c>
    </row>
    <row r="4582" spans="1:27" ht="17">
      <c r="A4582" s="2714" t="s">
        <v>1868</v>
      </c>
      <c r="B4582" s="371">
        <v>6</v>
      </c>
      <c r="C4582" s="371"/>
      <c r="D4582" s="2716" t="str">
        <f>VLOOKUP($A4582,Sheet_NoteList,2,0)</f>
        <v>本期销售前十名情况</v>
      </c>
      <c r="E4582" s="2716" t="s">
        <v>6535</v>
      </c>
      <c r="F4582" s="294"/>
      <c r="G4582" s="597" t="str">
        <f>"("&amp;B4582&amp;")"&amp;D4582</f>
        <v>(6)本期销售前十名情况</v>
      </c>
      <c r="H4582" s="1517" t="str">
        <f>$A4582</f>
        <v>6064f</v>
      </c>
      <c r="I4582" s="343" t="s">
        <v>5975</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7">
      <c r="A4584" s="2714"/>
      <c r="B4584" s="371"/>
      <c r="C4584" s="371"/>
      <c r="D4584" s="371"/>
      <c r="E4584" s="586" t="s">
        <v>2749</v>
      </c>
      <c r="F4584" s="363"/>
      <c r="G4584" s="2451" t="s">
        <v>1870</v>
      </c>
      <c r="H4584" s="2446" t="s">
        <v>4242</v>
      </c>
      <c r="I4584" s="355" t="s">
        <v>6142</v>
      </c>
      <c r="J4584" s="291"/>
      <c r="K4584" s="291"/>
      <c r="L4584" s="291"/>
      <c r="M4584" s="291"/>
      <c r="S4584" s="364"/>
      <c r="Z4584" s="609" t="s">
        <v>4221</v>
      </c>
      <c r="AA4584" s="609" t="s">
        <v>4212</v>
      </c>
    </row>
    <row r="4585" spans="1:27" ht="17">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7">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7">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7">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7">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7">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7">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7">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7">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7">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7">
      <c r="A4596" s="2714"/>
      <c r="B4596" s="371"/>
      <c r="C4596" s="371" t="s">
        <v>2755</v>
      </c>
      <c r="D4596" s="371"/>
      <c r="F4596" s="294"/>
      <c r="G4596" s="301"/>
      <c r="H4596" s="315"/>
      <c r="I4596" s="291"/>
      <c r="J4596" s="291"/>
      <c r="K4596" s="291"/>
      <c r="L4596" s="291"/>
      <c r="M4596" s="291"/>
      <c r="S4596" s="364"/>
      <c r="Z4596" s="609" t="s">
        <v>4221</v>
      </c>
      <c r="AA4596" s="609" t="s">
        <v>4212</v>
      </c>
    </row>
    <row r="4597" spans="1:27" ht="17">
      <c r="A4597" s="2714" t="s">
        <v>1872</v>
      </c>
      <c r="B4597" s="371">
        <v>7</v>
      </c>
      <c r="C4597" s="371"/>
      <c r="D4597" s="2716" t="str">
        <f>VLOOKUP($A4597,Sheet_NoteList,2,0)</f>
        <v>本期采购前十名情况</v>
      </c>
      <c r="E4597" s="2716" t="s">
        <v>6533</v>
      </c>
      <c r="F4597" s="294"/>
      <c r="G4597" s="597" t="str">
        <f>"("&amp;B4597&amp;")"&amp;D4597</f>
        <v>(7)本期采购前十名情况</v>
      </c>
      <c r="H4597" s="1517" t="str">
        <f>$A4597</f>
        <v>6064g</v>
      </c>
      <c r="I4597" s="343" t="s">
        <v>5966</v>
      </c>
      <c r="J4597" s="301"/>
      <c r="K4597" s="391"/>
      <c r="L4597" s="345"/>
      <c r="M4597" s="301"/>
      <c r="N4597" s="391"/>
      <c r="O4597" s="345"/>
      <c r="P4597" s="301"/>
      <c r="S4597" s="364"/>
      <c r="Z4597" s="609" t="s">
        <v>4221</v>
      </c>
      <c r="AA4597" s="609" t="s">
        <v>5704</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5704</v>
      </c>
    </row>
    <row r="4599" spans="1:27" ht="17">
      <c r="A4599" s="2714"/>
      <c r="B4599" s="371"/>
      <c r="C4599" s="371"/>
      <c r="D4599" s="371"/>
      <c r="E4599" s="586" t="s">
        <v>2749</v>
      </c>
      <c r="F4599" s="363"/>
      <c r="G4599" s="2451" t="s">
        <v>1874</v>
      </c>
      <c r="H4599" s="2446" t="s">
        <v>4242</v>
      </c>
      <c r="I4599" s="355" t="s">
        <v>6142</v>
      </c>
      <c r="J4599" s="291"/>
      <c r="K4599" s="291"/>
      <c r="L4599" s="291"/>
      <c r="M4599" s="291"/>
      <c r="S4599" s="364"/>
      <c r="Z4599" s="609" t="s">
        <v>4221</v>
      </c>
      <c r="AA4599" s="609" t="s">
        <v>5704</v>
      </c>
    </row>
    <row r="4600" spans="1:27" ht="17">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5704</v>
      </c>
    </row>
    <row r="4601" spans="1:27" ht="17">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5704</v>
      </c>
    </row>
    <row r="4602" spans="1:27" ht="17">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5704</v>
      </c>
    </row>
    <row r="4603" spans="1:27" ht="17">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5704</v>
      </c>
    </row>
    <row r="4604" spans="1:27" ht="17">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5704</v>
      </c>
    </row>
    <row r="4605" spans="1:27" ht="17">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5704</v>
      </c>
    </row>
    <row r="4606" spans="1:27" ht="17">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5704</v>
      </c>
    </row>
    <row r="4607" spans="1:27" ht="17">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5704</v>
      </c>
    </row>
    <row r="4608" spans="1:27" ht="17">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5704</v>
      </c>
    </row>
    <row r="4609" spans="1:27" ht="17">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5704</v>
      </c>
    </row>
    <row r="4610" spans="1:27" ht="1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5704</v>
      </c>
    </row>
    <row r="4611" spans="1:27" ht="17">
      <c r="A4611" s="2714"/>
      <c r="B4611" s="371"/>
      <c r="C4611" s="371" t="s">
        <v>2755</v>
      </c>
      <c r="D4611" s="371"/>
      <c r="F4611" s="294"/>
      <c r="G4611" s="301"/>
      <c r="H4611" s="315"/>
      <c r="I4611" s="291"/>
      <c r="J4611" s="291"/>
      <c r="K4611" s="291"/>
      <c r="L4611" s="291"/>
      <c r="M4611" s="291"/>
      <c r="S4611" s="364"/>
      <c r="Z4611" s="609" t="s">
        <v>4221</v>
      </c>
      <c r="AA4611" s="609" t="s">
        <v>5704</v>
      </c>
    </row>
    <row r="4612" spans="1:27" ht="17">
      <c r="A4612" s="2714" t="s">
        <v>1840</v>
      </c>
      <c r="B4612" s="371">
        <v>8</v>
      </c>
      <c r="C4612" s="371"/>
      <c r="D4612" s="2716" t="str">
        <f>VLOOKUP($A4612,Sheet_NoteList,2,0)</f>
        <v>营业收入补充资料</v>
      </c>
      <c r="E4612" s="2716" t="s">
        <v>6533</v>
      </c>
      <c r="F4612" s="294"/>
      <c r="G4612" s="307" t="str">
        <f>"("&amp;B4612&amp;")"&amp;D4612</f>
        <v>(8)营业收入补充资料</v>
      </c>
      <c r="H4612" s="1517" t="str">
        <f>$A4612</f>
        <v>6001x</v>
      </c>
      <c r="I4612" s="343" t="s">
        <v>5966</v>
      </c>
      <c r="J4612" s="301" t="s">
        <v>5982</v>
      </c>
      <c r="K4612" s="2210">
        <f>H4620</f>
        <v>0</v>
      </c>
      <c r="L4612" s="345"/>
      <c r="M4612" s="301" t="s">
        <v>5983</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7">
      <c r="A4614" s="2714"/>
      <c r="B4614" s="371"/>
      <c r="C4614" s="371"/>
      <c r="D4614" s="371"/>
      <c r="E4614" s="586" t="s">
        <v>2749</v>
      </c>
      <c r="F4614" s="363"/>
      <c r="G4614" s="2451" t="s">
        <v>47</v>
      </c>
      <c r="H4614" s="2447" t="s">
        <v>4242</v>
      </c>
      <c r="I4614" s="2446" t="s">
        <v>4245</v>
      </c>
      <c r="J4614" s="355" t="s">
        <v>6142</v>
      </c>
      <c r="K4614" s="291"/>
      <c r="L4614" s="291"/>
      <c r="M4614" s="291"/>
      <c r="S4614" s="364"/>
      <c r="Z4614" s="609" t="s">
        <v>4221</v>
      </c>
      <c r="AA4614" s="609" t="s">
        <v>4212</v>
      </c>
    </row>
    <row r="4615" spans="1:27" ht="17">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7">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7">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7">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7">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7">
      <c r="A4621" s="2714"/>
      <c r="B4621" s="371"/>
      <c r="C4621" s="371" t="s">
        <v>2755</v>
      </c>
      <c r="D4621" s="371"/>
      <c r="F4621" s="294"/>
      <c r="G4621" s="301"/>
      <c r="H4621" s="315"/>
      <c r="I4621" s="315"/>
      <c r="J4621" s="291"/>
      <c r="K4621" s="291"/>
      <c r="L4621" s="291"/>
      <c r="M4621" s="291"/>
      <c r="S4621" s="364"/>
      <c r="Z4621" s="609" t="s">
        <v>4221</v>
      </c>
      <c r="AA4621" s="609" t="s">
        <v>4212</v>
      </c>
    </row>
    <row r="4622" spans="1:27" ht="17">
      <c r="A4622" s="2714" t="s">
        <v>1894</v>
      </c>
      <c r="B4622" s="371">
        <v>9</v>
      </c>
      <c r="C4622" s="371"/>
      <c r="D4622" s="2716" t="str">
        <f>VLOOKUP($A4622,Sheet_NoteList,2,0)</f>
        <v>营业成本补充资料</v>
      </c>
      <c r="E4622" s="2716" t="s">
        <v>6533</v>
      </c>
      <c r="F4622" s="294"/>
      <c r="G4622" s="307" t="str">
        <f>"("&amp;B4622&amp;")"&amp;D4622</f>
        <v>(9)营业成本补充资料</v>
      </c>
      <c r="H4622" s="1517" t="str">
        <f>$A4622</f>
        <v>6401x</v>
      </c>
      <c r="I4622" s="343" t="s">
        <v>5970</v>
      </c>
      <c r="J4622" s="301" t="s">
        <v>5984</v>
      </c>
      <c r="K4622" s="2210">
        <f>H4630</f>
        <v>0</v>
      </c>
      <c r="L4622" s="345"/>
      <c r="M4622" s="301" t="s">
        <v>5983</v>
      </c>
      <c r="N4622" s="2210">
        <f>I4630</f>
        <v>0</v>
      </c>
      <c r="O4622" s="345"/>
      <c r="P4622" s="301"/>
      <c r="S4622" s="364"/>
      <c r="Z4622" s="609" t="s">
        <v>4221</v>
      </c>
      <c r="AA4622" s="609" t="s">
        <v>5704</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5704</v>
      </c>
    </row>
    <row r="4624" spans="1:27" ht="17">
      <c r="A4624" s="2714"/>
      <c r="B4624" s="371"/>
      <c r="C4624" s="371"/>
      <c r="D4624" s="371"/>
      <c r="E4624" s="586" t="s">
        <v>2749</v>
      </c>
      <c r="F4624" s="363"/>
      <c r="G4624" s="2451" t="s">
        <v>47</v>
      </c>
      <c r="H4624" s="2447" t="s">
        <v>4242</v>
      </c>
      <c r="I4624" s="2446" t="s">
        <v>4245</v>
      </c>
      <c r="J4624" s="355" t="s">
        <v>6142</v>
      </c>
      <c r="K4624" s="291"/>
      <c r="L4624" s="291"/>
      <c r="M4624" s="291"/>
      <c r="S4624" s="364"/>
      <c r="Z4624" s="609" t="s">
        <v>4221</v>
      </c>
      <c r="AA4624" s="609" t="s">
        <v>5704</v>
      </c>
    </row>
    <row r="4625" spans="1:27" ht="17">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5704</v>
      </c>
    </row>
    <row r="4626" spans="1:27" ht="17">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5704</v>
      </c>
    </row>
    <row r="4627" spans="1:27" ht="17">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5704</v>
      </c>
    </row>
    <row r="4628" spans="1:27" ht="17">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5704</v>
      </c>
    </row>
    <row r="4629" spans="1:27" ht="17">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5704</v>
      </c>
    </row>
    <row r="4630" spans="1:27" ht="1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5704</v>
      </c>
    </row>
    <row r="4631" spans="1:27" ht="17">
      <c r="A4631" s="2714"/>
      <c r="B4631" s="371"/>
      <c r="C4631" s="371" t="s">
        <v>2755</v>
      </c>
      <c r="D4631" s="371"/>
      <c r="F4631" s="294"/>
      <c r="G4631" s="301"/>
      <c r="H4631" s="315"/>
      <c r="I4631" s="315"/>
      <c r="J4631" s="291"/>
      <c r="K4631" s="291"/>
      <c r="L4631" s="291"/>
      <c r="M4631" s="291"/>
      <c r="S4631" s="364"/>
      <c r="Z4631" s="609" t="s">
        <v>4221</v>
      </c>
      <c r="AA4631" s="609" t="s">
        <v>5704</v>
      </c>
    </row>
    <row r="4632" spans="1:27" ht="17">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0</v>
      </c>
      <c r="L4632" s="342"/>
      <c r="M4632" s="306" t="s">
        <v>4207</v>
      </c>
      <c r="N4632" s="341">
        <f>VLOOKUP($A4632,Sheet_Trialbal,10,0)</f>
        <v>0</v>
      </c>
      <c r="O4632" s="306"/>
      <c r="P4632" s="301"/>
      <c r="S4632" s="364"/>
      <c r="Z4632" s="609" t="s">
        <v>4247</v>
      </c>
      <c r="AA4632" s="609" t="s">
        <v>5706</v>
      </c>
    </row>
    <row r="4633" spans="1:27" ht="17">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0</v>
      </c>
      <c r="L4633" s="345" t="str">
        <f>IF($I4633="适用",IF(ROUND(K4632-K4633,2)=0,"F/S",ROUND(K4632-K4633,2)),"#N/A")</f>
        <v>F/S</v>
      </c>
      <c r="M4633" s="301" t="s">
        <v>4211</v>
      </c>
      <c r="N4633" s="2210">
        <f>I4650</f>
        <v>0</v>
      </c>
      <c r="O4633" s="345" t="str">
        <f>IF($I4633="适用",IF(ROUND(N4632-N4633,2)=0,"F/S",ROUND(N4632-N4633,2)),"#N/A")</f>
        <v>F/S</v>
      </c>
      <c r="P4633" s="301"/>
      <c r="Q4633" s="290" t="str">
        <f>IF($I4633="不适用","",IF(ROUND(SUM($H$4636:$I$4650),2)=0,"请输入",""))</f>
        <v>请输入</v>
      </c>
      <c r="S4633" s="364"/>
      <c r="Z4633" s="609" t="s">
        <v>4247</v>
      </c>
      <c r="AA4633" s="609" t="s">
        <v>5706</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5706</v>
      </c>
    </row>
    <row r="4635" spans="1:27" ht="26.5" thickTop="1">
      <c r="A4635" s="2714"/>
      <c r="B4635" s="371"/>
      <c r="C4635" s="371"/>
      <c r="D4635" s="371"/>
      <c r="E4635" s="586" t="s">
        <v>2749</v>
      </c>
      <c r="F4635" s="363"/>
      <c r="G4635" s="2449" t="s">
        <v>47</v>
      </c>
      <c r="H4635" s="2445" t="str">
        <f>$V$4</f>
        <v>2019年度</v>
      </c>
      <c r="I4635" s="2444" t="str">
        <f>$V$5</f>
        <v>2018年度</v>
      </c>
      <c r="J4635" s="355" t="s">
        <v>5328</v>
      </c>
      <c r="K4635" s="1584" t="str">
        <f>""&amp;"&gt;应交税费本期增加:"&amp;""</f>
        <v>&gt;应交税费本期增加:</v>
      </c>
      <c r="L4635" s="1584"/>
      <c r="M4635" s="2659"/>
      <c r="N4635" s="2658" t="str">
        <f>""&amp;"NoteID"&amp;""</f>
        <v>NoteID</v>
      </c>
      <c r="S4635" s="364"/>
      <c r="Z4635" s="609" t="s">
        <v>4247</v>
      </c>
      <c r="AA4635" s="609" t="s">
        <v>5706</v>
      </c>
    </row>
    <row r="4636" spans="1:27" ht="17">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6368</v>
      </c>
      <c r="S4636" s="364"/>
      <c r="Z4636" s="609" t="s">
        <v>4247</v>
      </c>
      <c r="AA4636" s="609" t="s">
        <v>5706</v>
      </c>
    </row>
    <row r="4637" spans="1:27" ht="17">
      <c r="A4637" s="2714"/>
      <c r="B4637" s="371">
        <v>102</v>
      </c>
      <c r="C4637" s="371"/>
      <c r="D4637" s="2716">
        <f>IF(OR(G4637="*",G4637="",G4637=0),0,COUNTIF($G$4636:$G$4650,G4637))</f>
        <v>1</v>
      </c>
      <c r="E4637" s="2721">
        <v>1</v>
      </c>
      <c r="F4637" s="294"/>
      <c r="G4637" s="1474" t="s">
        <v>3948</v>
      </c>
      <c r="H4637" s="2275"/>
      <c r="I4637" s="2296"/>
      <c r="J4637" s="291"/>
      <c r="K4637" s="2252">
        <f ca="1">HYPERLINK("#'"&amp;$G$1&amp;"'!"&amp;ADDRESS(ROW(Notes!J3734),COLUMN(Notes!J3734),4),J3734)</f>
        <v>0</v>
      </c>
      <c r="L4637" s="456"/>
      <c r="M4637" s="456"/>
      <c r="N4637" s="2666"/>
      <c r="S4637" s="364"/>
      <c r="Z4637" s="609" t="s">
        <v>4247</v>
      </c>
      <c r="AA4637" s="609" t="s">
        <v>5706</v>
      </c>
    </row>
    <row r="4638" spans="1:27" ht="17">
      <c r="A4638" s="2714"/>
      <c r="B4638" s="371">
        <v>103</v>
      </c>
      <c r="C4638" s="371"/>
      <c r="D4638" s="2716">
        <f>IF(OR(G4638="*",G4638="",G4638=0),0,COUNTIF($G$4636:$G$4650,G4638))</f>
        <v>1</v>
      </c>
      <c r="E4638" s="2721">
        <v>1</v>
      </c>
      <c r="F4638" s="294"/>
      <c r="G4638" s="1474" t="s">
        <v>3949</v>
      </c>
      <c r="H4638" s="2275"/>
      <c r="I4638" s="2296"/>
      <c r="J4638" s="291"/>
      <c r="K4638" s="2252">
        <f ca="1">HYPERLINK("#'"&amp;$G$1&amp;"'!"&amp;ADDRESS(ROW(Notes!J3735),COLUMN(Notes!J3735),4),J3735)</f>
        <v>0</v>
      </c>
      <c r="L4638" s="456"/>
      <c r="M4638" s="456"/>
      <c r="N4638" s="2666"/>
      <c r="S4638" s="364"/>
      <c r="Z4638" s="609" t="s">
        <v>4247</v>
      </c>
      <c r="AA4638" s="609" t="s">
        <v>5706</v>
      </c>
    </row>
    <row r="4639" spans="1:27" ht="17">
      <c r="A4639" s="2714"/>
      <c r="B4639" s="371">
        <v>104</v>
      </c>
      <c r="C4639" s="371"/>
      <c r="D4639" s="2716">
        <f>IF(OR(G4639="*",G4639="",G4639=0),0,COUNTIF($G$4636:$G$4650,G4639))</f>
        <v>1</v>
      </c>
      <c r="E4639" s="2721">
        <v>1</v>
      </c>
      <c r="F4639" s="294"/>
      <c r="G4639" s="1474" t="s">
        <v>5645</v>
      </c>
      <c r="H4639" s="2275"/>
      <c r="I4639" s="2296"/>
      <c r="J4639" s="291"/>
      <c r="K4639" s="2252">
        <f ca="1">HYPERLINK("#'"&amp;$G$1&amp;"'!"&amp;ADDRESS(ROW(Notes!J3736),COLUMN(Notes!J3736),4),J3736)</f>
        <v>0</v>
      </c>
      <c r="L4639" s="456"/>
      <c r="M4639" s="456"/>
      <c r="N4639" s="2666"/>
      <c r="S4639" s="364"/>
      <c r="Z4639" s="609" t="s">
        <v>4247</v>
      </c>
      <c r="AA4639" s="609" t="s">
        <v>5706</v>
      </c>
    </row>
    <row r="4640" spans="1:27" ht="17">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5706</v>
      </c>
    </row>
    <row r="4641" spans="1:27" ht="17">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5706</v>
      </c>
    </row>
    <row r="4642" spans="1:27" ht="17">
      <c r="A4642" s="2714"/>
      <c r="B4642" s="371">
        <v>107</v>
      </c>
      <c r="C4642" s="371"/>
      <c r="D4642" s="2716">
        <f t="shared" ref="D4642:D4650" si="512">IF(OR(G4642="*",G4642="",G4642=0),0,COUNTIF($G$4636:$G$4650,G4642))</f>
        <v>1</v>
      </c>
      <c r="E4642" s="2721">
        <v>1</v>
      </c>
      <c r="F4642" s="294"/>
      <c r="G4642" s="1474" t="s">
        <v>5647</v>
      </c>
      <c r="H4642" s="2275"/>
      <c r="I4642" s="2296"/>
      <c r="J4642" s="291"/>
      <c r="K4642" s="2252">
        <f ca="1">HYPERLINK("#'"&amp;$G$1&amp;"'!"&amp;ADDRESS(ROW(Notes!J3739),COLUMN(Notes!J3739),4),J3739)</f>
        <v>0</v>
      </c>
      <c r="L4642" s="456"/>
      <c r="M4642" s="456"/>
      <c r="N4642" s="2666"/>
      <c r="S4642" s="364"/>
      <c r="Z4642" s="609" t="s">
        <v>4247</v>
      </c>
      <c r="AA4642" s="609" t="s">
        <v>5706</v>
      </c>
    </row>
    <row r="4643" spans="1:27" ht="17">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5706</v>
      </c>
    </row>
    <row r="4644" spans="1:27" ht="17">
      <c r="A4644" s="2714"/>
      <c r="B4644" s="371">
        <v>110</v>
      </c>
      <c r="C4644" s="371"/>
      <c r="D4644" s="2716">
        <f t="shared" si="512"/>
        <v>1</v>
      </c>
      <c r="E4644" s="2721">
        <v>1</v>
      </c>
      <c r="F4644" s="294"/>
      <c r="G4644" s="1474" t="s">
        <v>4253</v>
      </c>
      <c r="H4644" s="2275"/>
      <c r="I4644" s="2296"/>
      <c r="J4644" s="291"/>
      <c r="K4644" s="456"/>
      <c r="L4644" s="456"/>
      <c r="M4644" s="456"/>
      <c r="N4644" s="2666"/>
      <c r="S4644" s="364"/>
      <c r="Z4644" s="609" t="s">
        <v>4247</v>
      </c>
      <c r="AA4644" s="609" t="s">
        <v>5706</v>
      </c>
    </row>
    <row r="4645" spans="1:27" ht="17">
      <c r="A4645" s="2714"/>
      <c r="B4645" s="371">
        <v>111</v>
      </c>
      <c r="C4645" s="371" t="s">
        <v>2791</v>
      </c>
      <c r="D4645" s="2716">
        <f t="shared" si="512"/>
        <v>0</v>
      </c>
      <c r="E4645" s="2721">
        <v>1</v>
      </c>
      <c r="F4645" s="294"/>
      <c r="G4645" s="2448" t="s">
        <v>2792</v>
      </c>
      <c r="H4645" s="2275"/>
      <c r="I4645" s="2296"/>
      <c r="J4645" s="291"/>
      <c r="K4645" s="456"/>
      <c r="L4645" s="456"/>
      <c r="M4645" s="456"/>
      <c r="N4645" s="2666"/>
      <c r="S4645" s="364"/>
      <c r="Z4645" s="609" t="s">
        <v>4247</v>
      </c>
      <c r="AA4645" s="609" t="s">
        <v>5706</v>
      </c>
    </row>
    <row r="4646" spans="1:27" ht="17">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5706</v>
      </c>
    </row>
    <row r="4647" spans="1:27" ht="17">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5706</v>
      </c>
    </row>
    <row r="4648" spans="1:27" ht="17">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5706</v>
      </c>
    </row>
    <row r="4649" spans="1:27" ht="17">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5706</v>
      </c>
    </row>
    <row r="4650" spans="1:27" ht="17.5" thickBot="1">
      <c r="A4650" s="2714"/>
      <c r="B4650" s="371"/>
      <c r="C4650" s="371"/>
      <c r="D4650" s="2716">
        <f t="shared" si="512"/>
        <v>1</v>
      </c>
      <c r="E4650" s="2721" t="s">
        <v>2751</v>
      </c>
      <c r="F4650" s="294"/>
      <c r="G4650" s="374" t="s">
        <v>2752</v>
      </c>
      <c r="H4650" s="1478">
        <f>SUMPRODUCT($E4635:$E4649,H4635:H4649)</f>
        <v>0</v>
      </c>
      <c r="I4650" s="1479">
        <f>SUMPRODUCT($E4635:$E4649,I4635:I4649)</f>
        <v>0</v>
      </c>
      <c r="J4650" s="291"/>
      <c r="K4650" s="1531">
        <f t="shared" ref="K4650:M4650" ca="1" si="513">SUM(K4636:K4649)</f>
        <v>0</v>
      </c>
      <c r="L4650" s="1531">
        <f t="shared" si="513"/>
        <v>0</v>
      </c>
      <c r="M4650" s="1531">
        <f t="shared" si="513"/>
        <v>0</v>
      </c>
      <c r="N4650" s="2667"/>
      <c r="S4650" s="364"/>
      <c r="Z4650" s="609" t="s">
        <v>4247</v>
      </c>
      <c r="AA4650" s="609" t="s">
        <v>5706</v>
      </c>
    </row>
    <row r="4651" spans="1:27" ht="17">
      <c r="A4651" s="2714"/>
      <c r="B4651" s="371"/>
      <c r="C4651" s="371" t="s">
        <v>2755</v>
      </c>
      <c r="D4651" s="371"/>
      <c r="F4651" s="294"/>
      <c r="G4651" s="301"/>
      <c r="H4651" s="315"/>
      <c r="I4651" s="315"/>
      <c r="J4651" s="350"/>
      <c r="K4651" s="1539" t="s">
        <v>5506</v>
      </c>
      <c r="L4651" s="354"/>
      <c r="M4651" s="354"/>
      <c r="N4651" s="354"/>
      <c r="S4651" s="364"/>
      <c r="Z4651" s="609" t="s">
        <v>4247</v>
      </c>
      <c r="AA4651" s="609" t="s">
        <v>5706</v>
      </c>
    </row>
    <row r="4652" spans="1:27" ht="17">
      <c r="A4652" s="2714" t="s">
        <v>1901</v>
      </c>
      <c r="B4652" s="371">
        <v>2</v>
      </c>
      <c r="C4652" s="371"/>
      <c r="D4652" s="2716" t="str">
        <f>VLOOKUP($A4652,Sheet_NoteList,2,0)</f>
        <v>税金及附加补充资料</v>
      </c>
      <c r="E4652" s="2716" t="s">
        <v>6533</v>
      </c>
      <c r="F4652" s="294"/>
      <c r="G4652" s="307" t="str">
        <f>"("&amp;B4652&amp;")"&amp;D4652</f>
        <v>(2)税金及附加补充资料</v>
      </c>
      <c r="H4652" s="1517" t="str">
        <f>$A4652</f>
        <v>6600x</v>
      </c>
      <c r="I4652" s="343" t="s">
        <v>5966</v>
      </c>
      <c r="J4652" s="301" t="s">
        <v>5982</v>
      </c>
      <c r="K4652" s="2210">
        <f>H4660</f>
        <v>0</v>
      </c>
      <c r="L4652" s="345"/>
      <c r="M4652" s="301" t="s">
        <v>5983</v>
      </c>
      <c r="N4652" s="2210">
        <f>I4660</f>
        <v>0</v>
      </c>
      <c r="O4652" s="345"/>
      <c r="P4652" s="301"/>
      <c r="S4652" s="364"/>
      <c r="Z4652" s="609" t="s">
        <v>4247</v>
      </c>
      <c r="AA4652" s="609" t="s">
        <v>5706</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5706</v>
      </c>
    </row>
    <row r="4654" spans="1:27" ht="17">
      <c r="A4654" s="2714"/>
      <c r="B4654" s="371"/>
      <c r="C4654" s="371"/>
      <c r="D4654" s="371"/>
      <c r="E4654" s="586" t="s">
        <v>2749</v>
      </c>
      <c r="F4654" s="363"/>
      <c r="G4654" s="2451" t="s">
        <v>47</v>
      </c>
      <c r="H4654" s="2447" t="s">
        <v>4242</v>
      </c>
      <c r="I4654" s="2446" t="s">
        <v>4245</v>
      </c>
      <c r="J4654" s="355" t="s">
        <v>6142</v>
      </c>
      <c r="K4654" s="291"/>
      <c r="L4654" s="291"/>
      <c r="M4654" s="291"/>
      <c r="N4654" s="291"/>
      <c r="S4654" s="364"/>
      <c r="Z4654" s="609" t="s">
        <v>4247</v>
      </c>
      <c r="AA4654" s="609" t="s">
        <v>5706</v>
      </c>
    </row>
    <row r="4655" spans="1:27" ht="17">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5706</v>
      </c>
    </row>
    <row r="4656" spans="1:27" ht="17">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5706</v>
      </c>
    </row>
    <row r="4657" spans="1:27" ht="17">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5706</v>
      </c>
    </row>
    <row r="4658" spans="1:27" ht="17">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5706</v>
      </c>
    </row>
    <row r="4659" spans="1:27" ht="17">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5706</v>
      </c>
    </row>
    <row r="4660" spans="1:27" ht="1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5706</v>
      </c>
    </row>
    <row r="4661" spans="1:27" ht="17">
      <c r="A4661" s="2714"/>
      <c r="B4661" s="371"/>
      <c r="C4661" s="371" t="s">
        <v>2755</v>
      </c>
      <c r="D4661" s="371"/>
      <c r="F4661" s="294"/>
      <c r="G4661" s="301"/>
      <c r="H4661" s="315"/>
      <c r="I4661" s="315"/>
      <c r="J4661" s="350"/>
      <c r="K4661" s="291"/>
      <c r="L4661" s="291"/>
      <c r="M4661" s="291"/>
      <c r="N4661" s="291"/>
      <c r="S4661" s="364"/>
      <c r="Z4661" s="609" t="s">
        <v>4247</v>
      </c>
      <c r="AA4661" s="609" t="s">
        <v>5706</v>
      </c>
    </row>
    <row r="4662" spans="1:27" ht="17">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5707</v>
      </c>
    </row>
    <row r="4663" spans="1:27" ht="17">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0</v>
      </c>
      <c r="L4663" s="1535" t="str">
        <f>IF($I4663="适用",IF(ROUND(K4662-K4663,2)&gt;=0,IF(K4662&lt;&gt;0,K4663/K4662,""),"#Logical!"),"#N/A")</f>
        <v/>
      </c>
      <c r="M4663" s="301" t="s">
        <v>4257</v>
      </c>
      <c r="N4663" s="2210">
        <f>I4681</f>
        <v>0</v>
      </c>
      <c r="O4663" s="1535" t="str">
        <f>IF($I4663="适用",IF(ROUND(N4662-N4663,2)&gt;=0,IF(N4662&lt;&gt;0,N4663/N4662,""),"#Logical!"),"#N/A")</f>
        <v/>
      </c>
      <c r="P4663" s="301"/>
      <c r="Q4663" s="290" t="str">
        <f>IF($I4663="不适用","",IF(ROUND(SUM($H$4666:$I$4681),2)=0,"请输入",""))</f>
        <v>请输入</v>
      </c>
      <c r="S4663" s="364"/>
      <c r="Z4663" s="609" t="s">
        <v>4255</v>
      </c>
      <c r="AA4663" s="609" t="s">
        <v>5707</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5707</v>
      </c>
    </row>
    <row r="4665" spans="1:27" ht="17">
      <c r="A4665" s="2714"/>
      <c r="B4665" s="371"/>
      <c r="C4665" s="371"/>
      <c r="D4665" s="371"/>
      <c r="E4665" s="2716" t="s">
        <v>2749</v>
      </c>
      <c r="F4665" s="294"/>
      <c r="G4665" s="378" t="s">
        <v>47</v>
      </c>
      <c r="H4665" s="398" t="str">
        <f>$V$4</f>
        <v>2019年度</v>
      </c>
      <c r="I4665" s="511" t="str">
        <f>$V$5</f>
        <v>2018年度</v>
      </c>
      <c r="J4665" s="355" t="s">
        <v>5329</v>
      </c>
      <c r="K4665" s="291"/>
      <c r="L4665" s="291"/>
      <c r="M4665" s="291"/>
      <c r="S4665" s="364"/>
      <c r="Z4665" s="609" t="s">
        <v>4255</v>
      </c>
      <c r="AA4665" s="609" t="s">
        <v>5707</v>
      </c>
    </row>
    <row r="4666" spans="1:27" ht="17">
      <c r="A4666" s="2714"/>
      <c r="B4666" s="371">
        <v>101</v>
      </c>
      <c r="C4666" s="371" t="s">
        <v>2791</v>
      </c>
      <c r="D4666" s="2716">
        <f t="shared" ref="D4666:D4681" si="515">IF(OR(G4666="*",G4666="",G4666=0),0,COUNTIF($G$4666:$G$4681,G4666))</f>
        <v>0</v>
      </c>
      <c r="E4666" s="2721">
        <v>1</v>
      </c>
      <c r="F4666" s="294"/>
      <c r="G4666" s="409" t="s">
        <v>2792</v>
      </c>
      <c r="H4666" s="383"/>
      <c r="I4666" s="401"/>
      <c r="J4666" s="291"/>
      <c r="K4666" s="291"/>
      <c r="L4666" s="291"/>
      <c r="M4666" s="291"/>
      <c r="S4666" s="364"/>
      <c r="Z4666" s="609" t="s">
        <v>4255</v>
      </c>
      <c r="AA4666" s="609" t="s">
        <v>5707</v>
      </c>
    </row>
    <row r="4667" spans="1:27" ht="17">
      <c r="A4667" s="2714"/>
      <c r="B4667" s="371">
        <v>102</v>
      </c>
      <c r="C4667" s="371" t="s">
        <v>2791</v>
      </c>
      <c r="D4667" s="2716">
        <f t="shared" si="515"/>
        <v>0</v>
      </c>
      <c r="E4667" s="2721">
        <v>1</v>
      </c>
      <c r="F4667" s="294"/>
      <c r="G4667" s="409" t="s">
        <v>2792</v>
      </c>
      <c r="H4667" s="383"/>
      <c r="I4667" s="401"/>
      <c r="J4667" s="291"/>
      <c r="K4667" s="291"/>
      <c r="L4667" s="291"/>
      <c r="M4667" s="291"/>
      <c r="S4667" s="364"/>
      <c r="Z4667" s="609" t="s">
        <v>4255</v>
      </c>
      <c r="AA4667" s="609" t="s">
        <v>5707</v>
      </c>
    </row>
    <row r="4668" spans="1:27" ht="17">
      <c r="A4668" s="2714"/>
      <c r="B4668" s="371">
        <v>103</v>
      </c>
      <c r="C4668" s="371" t="s">
        <v>2791</v>
      </c>
      <c r="D4668" s="2716">
        <f t="shared" si="515"/>
        <v>0</v>
      </c>
      <c r="E4668" s="2721">
        <v>1</v>
      </c>
      <c r="F4668" s="294"/>
      <c r="G4668" s="409" t="s">
        <v>2792</v>
      </c>
      <c r="H4668" s="383"/>
      <c r="I4668" s="401"/>
      <c r="J4668" s="291"/>
      <c r="K4668" s="291"/>
      <c r="L4668" s="291"/>
      <c r="M4668" s="291"/>
      <c r="S4668" s="364"/>
      <c r="Z4668" s="609" t="s">
        <v>4255</v>
      </c>
      <c r="AA4668" s="609" t="s">
        <v>5707</v>
      </c>
    </row>
    <row r="4669" spans="1:27" ht="17">
      <c r="A4669" s="2714"/>
      <c r="B4669" s="371">
        <v>104</v>
      </c>
      <c r="C4669" s="371" t="s">
        <v>2791</v>
      </c>
      <c r="D4669" s="2716">
        <f t="shared" si="515"/>
        <v>0</v>
      </c>
      <c r="E4669" s="2721">
        <v>1</v>
      </c>
      <c r="F4669" s="294"/>
      <c r="G4669" s="409" t="s">
        <v>2792</v>
      </c>
      <c r="H4669" s="383"/>
      <c r="I4669" s="401"/>
      <c r="J4669" s="291"/>
      <c r="K4669" s="291"/>
      <c r="L4669" s="291"/>
      <c r="M4669" s="291"/>
      <c r="S4669" s="364"/>
      <c r="Z4669" s="609" t="s">
        <v>4255</v>
      </c>
      <c r="AA4669" s="609" t="s">
        <v>5707</v>
      </c>
    </row>
    <row r="4670" spans="1:27" ht="17">
      <c r="A4670" s="2714"/>
      <c r="B4670" s="371">
        <v>105</v>
      </c>
      <c r="C4670" s="371" t="s">
        <v>2791</v>
      </c>
      <c r="D4670" s="2716">
        <f t="shared" si="515"/>
        <v>0</v>
      </c>
      <c r="E4670" s="2721">
        <v>1</v>
      </c>
      <c r="F4670" s="294"/>
      <c r="G4670" s="409" t="s">
        <v>2792</v>
      </c>
      <c r="H4670" s="383"/>
      <c r="I4670" s="401"/>
      <c r="J4670" s="291"/>
      <c r="K4670" s="291"/>
      <c r="L4670" s="291"/>
      <c r="M4670" s="291"/>
      <c r="S4670" s="364"/>
      <c r="Z4670" s="609" t="s">
        <v>4255</v>
      </c>
      <c r="AA4670" s="609" t="s">
        <v>5707</v>
      </c>
    </row>
    <row r="4671" spans="1:27" ht="17">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5707</v>
      </c>
    </row>
    <row r="4672" spans="1:27" ht="17">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5707</v>
      </c>
    </row>
    <row r="4673" spans="1:27" ht="17">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5707</v>
      </c>
    </row>
    <row r="4674" spans="1:27" ht="17">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5707</v>
      </c>
    </row>
    <row r="4675" spans="1:27" ht="17">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5707</v>
      </c>
    </row>
    <row r="4676" spans="1:27" ht="17">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5707</v>
      </c>
    </row>
    <row r="4677" spans="1:27" ht="17">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5707</v>
      </c>
    </row>
    <row r="4678" spans="1:27" ht="17">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5707</v>
      </c>
    </row>
    <row r="4679" spans="1:27" ht="17">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5707</v>
      </c>
    </row>
    <row r="4680" spans="1:27" ht="17">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5707</v>
      </c>
    </row>
    <row r="4681" spans="1:27" ht="17.5" thickBot="1">
      <c r="A4681" s="2714"/>
      <c r="B4681" s="371"/>
      <c r="C4681" s="371"/>
      <c r="D4681" s="2716">
        <f t="shared" si="515"/>
        <v>1</v>
      </c>
      <c r="E4681" s="2721" t="s">
        <v>2751</v>
      </c>
      <c r="F4681" s="294"/>
      <c r="G4681" s="403" t="s">
        <v>2752</v>
      </c>
      <c r="H4681" s="503">
        <f>SUMPRODUCT($E4665:$E4680,H4665:H4680)</f>
        <v>0</v>
      </c>
      <c r="I4681" s="515">
        <f>SUMPRODUCT($E4665:$E4680,I4665:I4680)</f>
        <v>0</v>
      </c>
      <c r="J4681" s="291"/>
      <c r="K4681" s="291"/>
      <c r="L4681" s="291"/>
      <c r="M4681" s="291"/>
      <c r="S4681" s="364"/>
      <c r="Z4681" s="609" t="s">
        <v>4255</v>
      </c>
      <c r="AA4681" s="609" t="s">
        <v>5707</v>
      </c>
    </row>
    <row r="4682" spans="1:27" ht="17">
      <c r="A4682" s="2714"/>
      <c r="B4682" s="371"/>
      <c r="C4682" s="371" t="s">
        <v>2755</v>
      </c>
      <c r="D4682" s="371"/>
      <c r="F4682" s="294"/>
      <c r="G4682" s="301"/>
      <c r="H4682" s="349"/>
      <c r="I4682" s="349"/>
      <c r="J4682" s="291"/>
      <c r="K4682" s="291"/>
      <c r="L4682" s="291"/>
      <c r="M4682" s="291"/>
      <c r="S4682" s="364"/>
      <c r="Z4682" s="609" t="s">
        <v>4255</v>
      </c>
      <c r="AA4682" s="609" t="s">
        <v>5707</v>
      </c>
    </row>
    <row r="4683" spans="1:27" ht="17">
      <c r="A4683" s="2714" t="s">
        <v>1910</v>
      </c>
      <c r="B4683" s="371">
        <v>2</v>
      </c>
      <c r="C4683" s="371"/>
      <c r="D4683" s="2716" t="str">
        <f>VLOOKUP($A4683,Sheet_NoteList,2,0)</f>
        <v>销售费用补充资料</v>
      </c>
      <c r="E4683" s="2716" t="s">
        <v>6533</v>
      </c>
      <c r="F4683" s="294"/>
      <c r="G4683" s="307" t="str">
        <f>"("&amp;B4683&amp;")"&amp;D4683</f>
        <v>(2)销售费用补充资料</v>
      </c>
      <c r="H4683" s="1517" t="str">
        <f>$A4683</f>
        <v>6601x</v>
      </c>
      <c r="I4683" s="343" t="s">
        <v>5966</v>
      </c>
      <c r="J4683" s="301" t="s">
        <v>5985</v>
      </c>
      <c r="K4683" s="2210">
        <f>H4698</f>
        <v>0</v>
      </c>
      <c r="L4683" s="1535" t="str">
        <f>IF($I4683="适用",IF(ROUND(K4682-K4683,2)&gt;=0,IF(K4682&lt;&gt;0,K4683/K4682,""),"#Logical!"),"#N/A")</f>
        <v/>
      </c>
      <c r="M4683" s="301" t="s">
        <v>5986</v>
      </c>
      <c r="N4683" s="2210">
        <f>I4698</f>
        <v>580</v>
      </c>
      <c r="O4683" s="1535" t="str">
        <f>IF($I4683="适用",IF(ROUND(N4682-N4683,2)&gt;=0,IF(N4682&lt;&gt;0,N4683/N4682,""),"#Logical!"),"#N/A")</f>
        <v>#Logical!</v>
      </c>
      <c r="P4683" s="301"/>
      <c r="S4683" s="364"/>
      <c r="Z4683" s="609" t="s">
        <v>4255</v>
      </c>
      <c r="AA4683" s="609" t="s">
        <v>5707</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5707</v>
      </c>
    </row>
    <row r="4685" spans="1:27" ht="17">
      <c r="A4685" s="2714"/>
      <c r="B4685" s="371"/>
      <c r="C4685" s="371"/>
      <c r="D4685" s="371"/>
      <c r="E4685" s="586" t="s">
        <v>2749</v>
      </c>
      <c r="F4685" s="363"/>
      <c r="G4685" s="2451" t="s">
        <v>47</v>
      </c>
      <c r="H4685" s="2447" t="s">
        <v>4242</v>
      </c>
      <c r="I4685" s="2446" t="s">
        <v>4245</v>
      </c>
      <c r="J4685" s="355" t="s">
        <v>6142</v>
      </c>
      <c r="K4685" s="291"/>
      <c r="L4685" s="291"/>
      <c r="M4685" s="291"/>
      <c r="S4685" s="364"/>
      <c r="Z4685" s="609" t="s">
        <v>4255</v>
      </c>
      <c r="AA4685" s="609" t="s">
        <v>5707</v>
      </c>
    </row>
    <row r="4686" spans="1:27" ht="17">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5707</v>
      </c>
    </row>
    <row r="4687" spans="1:27" ht="17">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5707</v>
      </c>
    </row>
    <row r="4688" spans="1:27" ht="17">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5707</v>
      </c>
    </row>
    <row r="4689" spans="1:27" ht="17">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5707</v>
      </c>
    </row>
    <row r="4690" spans="1:27" ht="17">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5707</v>
      </c>
    </row>
    <row r="4691" spans="1:27" ht="1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5707</v>
      </c>
    </row>
    <row r="4692" spans="1:27" ht="17">
      <c r="A4692" s="2714"/>
      <c r="B4692" s="371"/>
      <c r="C4692" s="371" t="s">
        <v>2755</v>
      </c>
      <c r="D4692" s="371"/>
      <c r="F4692" s="294"/>
      <c r="G4692" s="301"/>
      <c r="H4692" s="315"/>
      <c r="I4692" s="315"/>
      <c r="J4692" s="291"/>
      <c r="K4692" s="291"/>
      <c r="L4692" s="291"/>
      <c r="M4692" s="291"/>
      <c r="S4692" s="364"/>
      <c r="Z4692" s="609" t="s">
        <v>4255</v>
      </c>
      <c r="AA4692" s="609" t="s">
        <v>5707</v>
      </c>
    </row>
    <row r="4693" spans="1:27" ht="17">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1000</v>
      </c>
      <c r="L4693" s="342"/>
      <c r="M4693" s="306" t="s">
        <v>4207</v>
      </c>
      <c r="N4693" s="341">
        <f>VLOOKUP($A4693,Sheet_Trialbal,10,0)</f>
        <v>580</v>
      </c>
      <c r="O4693" s="306"/>
      <c r="P4693" s="301"/>
      <c r="S4693" s="364"/>
      <c r="Z4693" s="609" t="s">
        <v>4260</v>
      </c>
      <c r="AA4693" s="609" t="s">
        <v>5708</v>
      </c>
    </row>
    <row r="4694" spans="1:27" ht="17">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1000</v>
      </c>
      <c r="L4694" s="1535">
        <f>IF($I4694="适用",IF(ROUND(K4693-K4694,2)&gt;=0,IF(K4693&lt;&gt;0,K4694/K4693,""),"#Logical!"),"#N/A")</f>
        <v>1</v>
      </c>
      <c r="M4694" s="301" t="s">
        <v>4257</v>
      </c>
      <c r="N4694" s="2210">
        <f>I4712</f>
        <v>580</v>
      </c>
      <c r="O4694" s="1535">
        <f>IF($I4694="适用",IF(ROUND(N4693-N4694,2)&gt;=0,IF(N4693&lt;&gt;0,N4694/N4693,""),"#Logical!"),"#N/A")</f>
        <v>1</v>
      </c>
      <c r="P4694" s="301"/>
      <c r="Q4694" s="290" t="str">
        <f>IF($I4694="不适用","",IF(ROUND(SUM($H$4697:$I$4712),2)=0,"请输入",""))</f>
        <v/>
      </c>
      <c r="S4694" s="364"/>
      <c r="Z4694" s="609" t="s">
        <v>4260</v>
      </c>
      <c r="AA4694" s="609" t="s">
        <v>5708</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5708</v>
      </c>
    </row>
    <row r="4696" spans="1:27" ht="17">
      <c r="A4696" s="2714"/>
      <c r="B4696" s="371"/>
      <c r="C4696" s="371"/>
      <c r="D4696" s="371"/>
      <c r="E4696" s="586" t="s">
        <v>2749</v>
      </c>
      <c r="F4696" s="363"/>
      <c r="G4696" s="2449" t="s">
        <v>47</v>
      </c>
      <c r="H4696" s="2445" t="str">
        <f>$V$4</f>
        <v>2019年度</v>
      </c>
      <c r="I4696" s="2444" t="str">
        <f>$V$5</f>
        <v>2018年度</v>
      </c>
      <c r="J4696" s="355" t="s">
        <v>5330</v>
      </c>
      <c r="K4696" s="291"/>
      <c r="L4696" s="291"/>
      <c r="M4696" s="291"/>
      <c r="S4696" s="364"/>
      <c r="Z4696" s="609" t="s">
        <v>4260</v>
      </c>
      <c r="AA4696" s="609" t="s">
        <v>5708</v>
      </c>
    </row>
    <row r="4697" spans="1:27" ht="17">
      <c r="A4697" s="2714"/>
      <c r="B4697" s="371">
        <v>101</v>
      </c>
      <c r="C4697" s="371" t="s">
        <v>2791</v>
      </c>
      <c r="D4697" s="2716">
        <f t="shared" ref="D4697:D4712" si="517">IF(OR(G4697="*",G4697="",G4697=0),0,COUNTIF($G$4697:$G$4712,G4697))</f>
        <v>1</v>
      </c>
      <c r="E4697" s="2721">
        <v>1</v>
      </c>
      <c r="F4697" s="294"/>
      <c r="G4697" s="2448" t="s">
        <v>6817</v>
      </c>
      <c r="H4697" s="2275">
        <v>1000</v>
      </c>
      <c r="I4697" s="2296"/>
      <c r="J4697" s="291"/>
      <c r="K4697" s="291"/>
      <c r="L4697" s="291"/>
      <c r="M4697" s="291"/>
      <c r="S4697" s="364"/>
      <c r="Z4697" s="609" t="s">
        <v>4260</v>
      </c>
      <c r="AA4697" s="609" t="s">
        <v>5708</v>
      </c>
    </row>
    <row r="4698" spans="1:27" ht="17">
      <c r="A4698" s="2714"/>
      <c r="B4698" s="371">
        <v>102</v>
      </c>
      <c r="C4698" s="371" t="s">
        <v>2791</v>
      </c>
      <c r="D4698" s="2716">
        <f t="shared" si="517"/>
        <v>1</v>
      </c>
      <c r="E4698" s="2721">
        <v>1</v>
      </c>
      <c r="F4698" s="294"/>
      <c r="G4698" s="2448" t="s">
        <v>6818</v>
      </c>
      <c r="H4698" s="2275"/>
      <c r="I4698" s="2296">
        <v>580</v>
      </c>
      <c r="J4698" s="291"/>
      <c r="K4698" s="291"/>
      <c r="L4698" s="291"/>
      <c r="M4698" s="291"/>
      <c r="S4698" s="364"/>
      <c r="Z4698" s="609" t="s">
        <v>4260</v>
      </c>
      <c r="AA4698" s="609" t="s">
        <v>5708</v>
      </c>
    </row>
    <row r="4699" spans="1:27" ht="17">
      <c r="A4699" s="2714"/>
      <c r="B4699" s="371">
        <v>103</v>
      </c>
      <c r="C4699" s="371" t="s">
        <v>2791</v>
      </c>
      <c r="D4699" s="2716">
        <f t="shared" si="517"/>
        <v>0</v>
      </c>
      <c r="E4699" s="2721">
        <v>1</v>
      </c>
      <c r="F4699" s="294"/>
      <c r="G4699" s="2448" t="s">
        <v>2792</v>
      </c>
      <c r="H4699" s="2275"/>
      <c r="I4699" s="2296"/>
      <c r="J4699" s="291"/>
      <c r="K4699" s="291"/>
      <c r="L4699" s="291"/>
      <c r="M4699" s="291"/>
      <c r="S4699" s="364"/>
      <c r="Z4699" s="609" t="s">
        <v>4260</v>
      </c>
      <c r="AA4699" s="609" t="s">
        <v>5708</v>
      </c>
    </row>
    <row r="4700" spans="1:27" ht="17">
      <c r="A4700" s="2714"/>
      <c r="B4700" s="371">
        <v>104</v>
      </c>
      <c r="C4700" s="371" t="s">
        <v>2791</v>
      </c>
      <c r="D4700" s="2716">
        <f t="shared" si="517"/>
        <v>0</v>
      </c>
      <c r="E4700" s="2721">
        <v>1</v>
      </c>
      <c r="F4700" s="294"/>
      <c r="G4700" s="2448" t="s">
        <v>2792</v>
      </c>
      <c r="H4700" s="2275"/>
      <c r="I4700" s="2296"/>
      <c r="J4700" s="291"/>
      <c r="K4700" s="291"/>
      <c r="L4700" s="291"/>
      <c r="M4700" s="291"/>
      <c r="S4700" s="364"/>
      <c r="Z4700" s="609" t="s">
        <v>4260</v>
      </c>
      <c r="AA4700" s="609" t="s">
        <v>5708</v>
      </c>
    </row>
    <row r="4701" spans="1:27" ht="17">
      <c r="A4701" s="2714"/>
      <c r="B4701" s="371">
        <v>105</v>
      </c>
      <c r="C4701" s="371" t="s">
        <v>2791</v>
      </c>
      <c r="D4701" s="2716">
        <f t="shared" si="517"/>
        <v>0</v>
      </c>
      <c r="E4701" s="2721">
        <v>1</v>
      </c>
      <c r="F4701" s="294"/>
      <c r="G4701" s="2448" t="s">
        <v>2792</v>
      </c>
      <c r="H4701" s="2275"/>
      <c r="I4701" s="2296"/>
      <c r="J4701" s="291"/>
      <c r="K4701" s="291"/>
      <c r="L4701" s="291"/>
      <c r="M4701" s="291"/>
      <c r="S4701" s="364"/>
      <c r="Z4701" s="609" t="s">
        <v>4260</v>
      </c>
      <c r="AA4701" s="609" t="s">
        <v>5708</v>
      </c>
    </row>
    <row r="4702" spans="1:27" ht="17">
      <c r="A4702" s="2714"/>
      <c r="B4702" s="371">
        <v>106</v>
      </c>
      <c r="C4702" s="371" t="s">
        <v>2791</v>
      </c>
      <c r="D4702" s="2716">
        <f t="shared" si="517"/>
        <v>0</v>
      </c>
      <c r="E4702" s="2721">
        <v>1</v>
      </c>
      <c r="F4702" s="294"/>
      <c r="G4702" s="2448" t="s">
        <v>2792</v>
      </c>
      <c r="H4702" s="2275"/>
      <c r="I4702" s="2296"/>
      <c r="J4702" s="291"/>
      <c r="K4702" s="291"/>
      <c r="L4702" s="291"/>
      <c r="M4702" s="291"/>
      <c r="S4702" s="364"/>
      <c r="Z4702" s="609" t="s">
        <v>4260</v>
      </c>
      <c r="AA4702" s="609" t="s">
        <v>5708</v>
      </c>
    </row>
    <row r="4703" spans="1:27" ht="17">
      <c r="A4703" s="2714"/>
      <c r="B4703" s="371">
        <v>107</v>
      </c>
      <c r="C4703" s="371" t="s">
        <v>2791</v>
      </c>
      <c r="D4703" s="2716">
        <f t="shared" si="517"/>
        <v>0</v>
      </c>
      <c r="E4703" s="2721">
        <v>1</v>
      </c>
      <c r="F4703" s="294"/>
      <c r="G4703" s="2448" t="s">
        <v>2792</v>
      </c>
      <c r="H4703" s="2275"/>
      <c r="I4703" s="2296"/>
      <c r="J4703" s="291"/>
      <c r="K4703" s="291"/>
      <c r="L4703" s="291"/>
      <c r="M4703" s="291"/>
      <c r="S4703" s="364"/>
      <c r="Z4703" s="609" t="s">
        <v>4260</v>
      </c>
      <c r="AA4703" s="609" t="s">
        <v>5708</v>
      </c>
    </row>
    <row r="4704" spans="1:27" ht="17">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5708</v>
      </c>
    </row>
    <row r="4705" spans="1:27" ht="17">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5708</v>
      </c>
    </row>
    <row r="4706" spans="1:27" ht="17">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5708</v>
      </c>
    </row>
    <row r="4707" spans="1:27" ht="17">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5708</v>
      </c>
    </row>
    <row r="4708" spans="1:27" ht="17">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5708</v>
      </c>
    </row>
    <row r="4709" spans="1:27" ht="17">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5708</v>
      </c>
    </row>
    <row r="4710" spans="1:27" ht="17">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5708</v>
      </c>
    </row>
    <row r="4711" spans="1:27" ht="17">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5708</v>
      </c>
    </row>
    <row r="4712" spans="1:27" ht="17.5" thickBot="1">
      <c r="A4712" s="2714"/>
      <c r="B4712" s="371"/>
      <c r="C4712" s="371"/>
      <c r="D4712" s="2716">
        <f t="shared" si="517"/>
        <v>1</v>
      </c>
      <c r="E4712" s="2721" t="s">
        <v>2751</v>
      </c>
      <c r="F4712" s="294"/>
      <c r="G4712" s="374" t="s">
        <v>2752</v>
      </c>
      <c r="H4712" s="1478">
        <f>SUMPRODUCT($E4696:$E4711,H4696:H4711)</f>
        <v>1000</v>
      </c>
      <c r="I4712" s="1479">
        <f>SUMPRODUCT($E4696:$E4711,I4696:I4711)</f>
        <v>580</v>
      </c>
      <c r="J4712" s="291"/>
      <c r="K4712" s="291"/>
      <c r="L4712" s="291"/>
      <c r="M4712" s="291"/>
      <c r="S4712" s="364"/>
      <c r="Z4712" s="609" t="s">
        <v>4260</v>
      </c>
      <c r="AA4712" s="609" t="s">
        <v>5708</v>
      </c>
    </row>
    <row r="4713" spans="1:27" ht="17">
      <c r="A4713" s="2714"/>
      <c r="B4713" s="371"/>
      <c r="C4713" s="371" t="s">
        <v>2755</v>
      </c>
      <c r="D4713" s="371"/>
      <c r="F4713" s="294"/>
      <c r="G4713" s="301"/>
      <c r="H4713" s="315"/>
      <c r="I4713" s="315"/>
      <c r="J4713" s="291"/>
      <c r="K4713" s="291"/>
      <c r="L4713" s="291"/>
      <c r="M4713" s="291"/>
      <c r="S4713" s="364"/>
      <c r="Z4713" s="609" t="s">
        <v>4260</v>
      </c>
      <c r="AA4713" s="609" t="s">
        <v>5708</v>
      </c>
    </row>
    <row r="4714" spans="1:27" ht="17">
      <c r="A4714" s="2714" t="s">
        <v>1916</v>
      </c>
      <c r="B4714" s="371">
        <v>2</v>
      </c>
      <c r="C4714" s="371"/>
      <c r="D4714" s="2716" t="str">
        <f>VLOOKUP($A4714,Sheet_NoteList,2,0)</f>
        <v>管理费用补充资料</v>
      </c>
      <c r="E4714" s="2716" t="s">
        <v>6533</v>
      </c>
      <c r="F4714" s="294"/>
      <c r="G4714" s="307" t="str">
        <f>"("&amp;B4714&amp;")"&amp;D4714</f>
        <v>(2)管理费用补充资料</v>
      </c>
      <c r="H4714" s="1517" t="str">
        <f>$A4714</f>
        <v>6602x</v>
      </c>
      <c r="I4714" s="343" t="s">
        <v>5967</v>
      </c>
      <c r="J4714" s="301" t="s">
        <v>5987</v>
      </c>
      <c r="K4714" s="2210">
        <f>H4722</f>
        <v>0</v>
      </c>
      <c r="L4714" s="1535"/>
      <c r="M4714" s="301" t="s">
        <v>5988</v>
      </c>
      <c r="N4714" s="2210">
        <f>I4722</f>
        <v>0</v>
      </c>
      <c r="O4714" s="1535"/>
      <c r="P4714" s="301"/>
      <c r="S4714" s="364"/>
      <c r="Z4714" s="609" t="s">
        <v>4260</v>
      </c>
      <c r="AA4714" s="609" t="s">
        <v>5708</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5708</v>
      </c>
    </row>
    <row r="4716" spans="1:27" ht="17">
      <c r="A4716" s="2714"/>
      <c r="B4716" s="371"/>
      <c r="C4716" s="371"/>
      <c r="D4716" s="371"/>
      <c r="E4716" s="586" t="s">
        <v>2749</v>
      </c>
      <c r="F4716" s="363"/>
      <c r="G4716" s="2451" t="s">
        <v>47</v>
      </c>
      <c r="H4716" s="2447" t="s">
        <v>4242</v>
      </c>
      <c r="I4716" s="2446" t="s">
        <v>4245</v>
      </c>
      <c r="J4716" s="355" t="s">
        <v>6142</v>
      </c>
      <c r="K4716" s="291"/>
      <c r="L4716" s="291"/>
      <c r="M4716" s="291"/>
      <c r="S4716" s="364"/>
      <c r="Z4716" s="609" t="s">
        <v>4260</v>
      </c>
      <c r="AA4716" s="609" t="s">
        <v>5708</v>
      </c>
    </row>
    <row r="4717" spans="1:27" ht="17">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5708</v>
      </c>
    </row>
    <row r="4718" spans="1:27" ht="17">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5708</v>
      </c>
    </row>
    <row r="4719" spans="1:27" ht="17">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5708</v>
      </c>
    </row>
    <row r="4720" spans="1:27" ht="17">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5708</v>
      </c>
    </row>
    <row r="4721" spans="1:27" ht="17">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5708</v>
      </c>
    </row>
    <row r="4722" spans="1:27" ht="1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5708</v>
      </c>
    </row>
    <row r="4723" spans="1:27" ht="17">
      <c r="A4723" s="2714"/>
      <c r="B4723" s="371"/>
      <c r="C4723" s="371" t="s">
        <v>2755</v>
      </c>
      <c r="D4723" s="371"/>
      <c r="F4723" s="294"/>
      <c r="G4723" s="301"/>
      <c r="H4723" s="315"/>
      <c r="I4723" s="315"/>
      <c r="J4723" s="291"/>
      <c r="K4723" s="291"/>
      <c r="L4723" s="291"/>
      <c r="M4723" s="291"/>
      <c r="S4723" s="364"/>
      <c r="Z4723" s="609" t="s">
        <v>4260</v>
      </c>
      <c r="AA4723" s="609" t="s">
        <v>5708</v>
      </c>
    </row>
    <row r="4724" spans="1:27" ht="17">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5709</v>
      </c>
    </row>
    <row r="4725" spans="1:27" ht="17">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t="str">
        <f>IF($I4725="适用",IF(ROUND(N$4724-N4725,2)=0,"F/S",ROUND(N$4724-N4725,2)),"#N/A")</f>
        <v>F/S</v>
      </c>
      <c r="P4725" s="301"/>
      <c r="S4725" s="364"/>
      <c r="Z4725" s="609" t="s">
        <v>4263</v>
      </c>
      <c r="AA4725" s="609" t="s">
        <v>5709</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5709</v>
      </c>
    </row>
    <row r="4727" spans="1:27" ht="17">
      <c r="A4727" s="2714"/>
      <c r="B4727" s="371"/>
      <c r="C4727" s="371"/>
      <c r="D4727" s="2716"/>
      <c r="E4727" s="586" t="s">
        <v>2749</v>
      </c>
      <c r="F4727" s="586"/>
      <c r="G4727" s="2567" t="s">
        <v>47</v>
      </c>
      <c r="H4727" s="2606" t="str">
        <f>$V$4</f>
        <v>2019年度</v>
      </c>
      <c r="I4727" s="2607" t="str">
        <f>$V$5</f>
        <v>2018年度</v>
      </c>
      <c r="J4727" s="355" t="s">
        <v>5331</v>
      </c>
      <c r="K4727" s="391"/>
      <c r="L4727" s="349"/>
      <c r="M4727" s="301"/>
      <c r="N4727" s="391"/>
      <c r="O4727" s="349"/>
      <c r="P4727" s="301"/>
      <c r="S4727" s="364"/>
      <c r="Z4727" s="609" t="s">
        <v>4263</v>
      </c>
      <c r="AA4727" s="609" t="s">
        <v>5709</v>
      </c>
    </row>
    <row r="4728" spans="1:27" ht="17">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5709</v>
      </c>
    </row>
    <row r="4729" spans="1:27" ht="17">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5709</v>
      </c>
    </row>
    <row r="4730" spans="1:27" ht="17">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5709</v>
      </c>
    </row>
    <row r="4731" spans="1:27" ht="17">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5709</v>
      </c>
    </row>
    <row r="4732" spans="1:27" ht="17">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5709</v>
      </c>
    </row>
    <row r="4733" spans="1:27" ht="17">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5709</v>
      </c>
    </row>
    <row r="4734" spans="1:27" ht="1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5709</v>
      </c>
    </row>
    <row r="4735" spans="1:27" ht="17">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5709</v>
      </c>
    </row>
    <row r="4736" spans="1:27" ht="17">
      <c r="A4736" s="2714" t="s">
        <v>6170</v>
      </c>
      <c r="B4736" s="371">
        <v>2</v>
      </c>
      <c r="C4736" s="371"/>
      <c r="D4736" s="2716" t="str">
        <f>VLOOKUP($A4736,Sheet_NoteList,2,0)</f>
        <v>研发费用补充资料</v>
      </c>
      <c r="E4736" s="2716" t="s">
        <v>6533</v>
      </c>
      <c r="F4736" s="293"/>
      <c r="G4736" s="372" t="str">
        <f>"("&amp;B4736&amp;")"&amp;D4736</f>
        <v>(2)研发费用补充资料</v>
      </c>
      <c r="H4736" s="1517" t="str">
        <f>$A4736</f>
        <v>6606x</v>
      </c>
      <c r="I4736" s="343" t="s">
        <v>6172</v>
      </c>
      <c r="J4736" s="301" t="s">
        <v>6173</v>
      </c>
      <c r="K4736" s="2210">
        <f>H4747</f>
        <v>0</v>
      </c>
      <c r="L4736" s="349" t="str">
        <f>IF($I4736="适用",IF(ROUND(K$4724-K4736,2)=0,"F/S",ROUND(K$4724-K4736,2)),"#N/A")</f>
        <v>F/S</v>
      </c>
      <c r="M4736" s="301" t="s">
        <v>6174</v>
      </c>
      <c r="N4736" s="2210">
        <f>I4747</f>
        <v>0</v>
      </c>
      <c r="O4736" s="349" t="str">
        <f>IF($I4736="适用",IF(ROUND(N$4724-N4736,2)=0,"F/S",ROUND(N$4724-N4736,2)),"#N/A")</f>
        <v>F/S</v>
      </c>
      <c r="P4736" s="301"/>
      <c r="S4736" s="364"/>
      <c r="Z4736" s="609" t="s">
        <v>4263</v>
      </c>
      <c r="AA4736" s="609" t="s">
        <v>5709</v>
      </c>
    </row>
    <row r="4737" spans="1:27" ht="0.75" customHeight="1" thickBot="1">
      <c r="A4737" s="2714"/>
      <c r="B4737" s="371"/>
      <c r="C4737" s="371"/>
      <c r="D4737" s="2716"/>
      <c r="E4737" s="586"/>
      <c r="F4737" s="586"/>
      <c r="G4737" s="2224" t="s">
        <v>6175</v>
      </c>
      <c r="H4737" s="371" t="s">
        <v>4223</v>
      </c>
      <c r="I4737" s="371" t="s">
        <v>4224</v>
      </c>
      <c r="J4737" s="371" t="s">
        <v>6217</v>
      </c>
      <c r="K4737" s="391"/>
      <c r="L4737" s="349"/>
      <c r="M4737" s="301"/>
      <c r="N4737" s="391"/>
      <c r="O4737" s="349"/>
      <c r="P4737" s="301"/>
      <c r="S4737" s="364"/>
      <c r="Z4737" s="609" t="s">
        <v>4263</v>
      </c>
      <c r="AA4737" s="609" t="s">
        <v>5709</v>
      </c>
    </row>
    <row r="4738" spans="1:27" ht="17">
      <c r="A4738" s="2714"/>
      <c r="B4738" s="371"/>
      <c r="C4738" s="371"/>
      <c r="D4738" s="2716"/>
      <c r="E4738" s="586" t="s">
        <v>2749</v>
      </c>
      <c r="F4738" s="414"/>
      <c r="G4738" s="2583" t="s">
        <v>47</v>
      </c>
      <c r="H4738" s="2586" t="str">
        <f>$V$4</f>
        <v>2019年度</v>
      </c>
      <c r="I4738" s="2586" t="str">
        <f>$V$5</f>
        <v>2018年度</v>
      </c>
      <c r="J4738" s="2585" t="s">
        <v>6176</v>
      </c>
      <c r="K4738" s="355" t="s">
        <v>6142</v>
      </c>
      <c r="L4738" s="349"/>
      <c r="M4738" s="301"/>
      <c r="N4738" s="391"/>
      <c r="O4738" s="349"/>
      <c r="P4738" s="301"/>
      <c r="S4738" s="364"/>
      <c r="Z4738" s="609" t="s">
        <v>4263</v>
      </c>
      <c r="AA4738" s="609" t="s">
        <v>5709</v>
      </c>
    </row>
    <row r="4739" spans="1:27" ht="17">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5709</v>
      </c>
    </row>
    <row r="4740" spans="1:27" ht="17">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5709</v>
      </c>
    </row>
    <row r="4741" spans="1:27" ht="17">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5709</v>
      </c>
    </row>
    <row r="4742" spans="1:27" ht="17">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5709</v>
      </c>
    </row>
    <row r="4743" spans="1:27" ht="17">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5709</v>
      </c>
    </row>
    <row r="4744" spans="1:27" ht="17">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5709</v>
      </c>
    </row>
    <row r="4745" spans="1:27" ht="17">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5709</v>
      </c>
    </row>
    <row r="4746" spans="1:27" ht="17">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5709</v>
      </c>
    </row>
    <row r="4747" spans="1:27" ht="1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5709</v>
      </c>
    </row>
    <row r="4748" spans="1:27" ht="17">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5709</v>
      </c>
    </row>
    <row r="4749" spans="1:27" ht="17">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1324.91</v>
      </c>
      <c r="L4749" s="342"/>
      <c r="M4749" s="306" t="s">
        <v>4207</v>
      </c>
      <c r="N4749" s="341">
        <f>VLOOKUP($A4749,Sheet_Trialbal,10,0)</f>
        <v>1134.32</v>
      </c>
      <c r="O4749" s="306"/>
      <c r="P4749" s="301"/>
      <c r="S4749" s="364"/>
      <c r="Z4749" s="609" t="s">
        <v>4269</v>
      </c>
      <c r="AA4749" s="609" t="s">
        <v>5710</v>
      </c>
    </row>
    <row r="4750" spans="1:27" ht="17">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1324.91</v>
      </c>
      <c r="L4750" s="1535">
        <f>IF($I4750="适用",IF(ROUND(K4749-K4750,2)&gt;=0,IF(K4749&lt;&gt;0,K4750/K4749,""),"#Logical!"),"#N/A")</f>
        <v>1</v>
      </c>
      <c r="M4750" s="301" t="s">
        <v>4257</v>
      </c>
      <c r="N4750" s="2210">
        <f>I4763</f>
        <v>1134.32</v>
      </c>
      <c r="O4750" s="1535">
        <f>IF($I4750="适用",IF(ROUND(N4749-N4750,2)&gt;=0,IF(N4749&lt;&gt;0,N4750/N4749,""),"#Logical!"),"#N/A")</f>
        <v>1</v>
      </c>
      <c r="P4750" s="301"/>
      <c r="Q4750" s="290" t="str">
        <f>IF($I4750="不适用","",IF(ROUND(SUM($H$4753:$I$4763),2)=0,"请输入",""))</f>
        <v/>
      </c>
      <c r="S4750" s="364"/>
      <c r="Z4750" s="609" t="s">
        <v>4269</v>
      </c>
      <c r="AA4750" s="609" t="s">
        <v>5710</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5710</v>
      </c>
    </row>
    <row r="4752" spans="1:27" ht="17">
      <c r="A4752" s="2714"/>
      <c r="B4752" s="371"/>
      <c r="C4752" s="371"/>
      <c r="D4752" s="371"/>
      <c r="E4752" s="2716" t="s">
        <v>2749</v>
      </c>
      <c r="F4752" s="294"/>
      <c r="G4752" s="378" t="s">
        <v>47</v>
      </c>
      <c r="H4752" s="398" t="str">
        <f>$V$4</f>
        <v>2019年度</v>
      </c>
      <c r="I4752" s="511" t="str">
        <f>$V$5</f>
        <v>2018年度</v>
      </c>
      <c r="J4752" s="355" t="s">
        <v>5332</v>
      </c>
      <c r="K4752" s="291"/>
      <c r="L4752" s="291"/>
      <c r="M4752" s="291"/>
      <c r="S4752" s="364"/>
      <c r="Z4752" s="609" t="s">
        <v>4269</v>
      </c>
      <c r="AA4752" s="609" t="s">
        <v>5710</v>
      </c>
    </row>
    <row r="4753" spans="1:27" ht="17">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5710</v>
      </c>
    </row>
    <row r="4754" spans="1:27" ht="17">
      <c r="A4754" s="2714"/>
      <c r="B4754" s="371">
        <v>102</v>
      </c>
      <c r="C4754" s="371" t="s">
        <v>2791</v>
      </c>
      <c r="D4754" s="2716">
        <f t="shared" si="521"/>
        <v>1</v>
      </c>
      <c r="E4754" s="2721">
        <v>0</v>
      </c>
      <c r="F4754" s="294"/>
      <c r="G4754" s="384" t="s">
        <v>4271</v>
      </c>
      <c r="H4754" s="383">
        <v>50.09</v>
      </c>
      <c r="I4754" s="401">
        <v>33.44</v>
      </c>
      <c r="J4754" s="291"/>
      <c r="K4754" s="291"/>
      <c r="L4754" s="291"/>
      <c r="M4754" s="291"/>
      <c r="S4754" s="364"/>
      <c r="Z4754" s="609" t="s">
        <v>4269</v>
      </c>
      <c r="AA4754" s="609" t="s">
        <v>5710</v>
      </c>
    </row>
    <row r="4755" spans="1:27" ht="17">
      <c r="A4755" s="2714"/>
      <c r="B4755" s="371">
        <v>103</v>
      </c>
      <c r="C4755" s="371" t="s">
        <v>2791</v>
      </c>
      <c r="D4755" s="2716">
        <f t="shared" si="521"/>
        <v>1</v>
      </c>
      <c r="E4755" s="2721">
        <v>1</v>
      </c>
      <c r="F4755" s="294"/>
      <c r="G4755" s="2612" t="s">
        <v>4272</v>
      </c>
      <c r="H4755" s="383">
        <f>H4753-H4754</f>
        <v>-50.09</v>
      </c>
      <c r="I4755" s="401">
        <f>I4753-I4754</f>
        <v>-33.44</v>
      </c>
      <c r="J4755" s="291"/>
      <c r="K4755" s="291"/>
      <c r="L4755" s="291"/>
      <c r="M4755" s="291"/>
      <c r="S4755" s="364"/>
      <c r="Z4755" s="609" t="s">
        <v>4269</v>
      </c>
      <c r="AA4755" s="609" t="s">
        <v>5710</v>
      </c>
    </row>
    <row r="4756" spans="1:27" ht="17">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5710</v>
      </c>
    </row>
    <row r="4757" spans="1:27" ht="17">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5710</v>
      </c>
    </row>
    <row r="4758" spans="1:27" ht="17">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5710</v>
      </c>
    </row>
    <row r="4759" spans="1:27" ht="17">
      <c r="A4759" s="2714"/>
      <c r="B4759" s="371">
        <v>107</v>
      </c>
      <c r="C4759" s="371" t="s">
        <v>2791</v>
      </c>
      <c r="D4759" s="2716">
        <f t="shared" si="521"/>
        <v>1</v>
      </c>
      <c r="E4759" s="2721">
        <v>1</v>
      </c>
      <c r="F4759" s="294"/>
      <c r="G4759" s="409" t="s">
        <v>4276</v>
      </c>
      <c r="H4759" s="383">
        <v>1375</v>
      </c>
      <c r="I4759" s="401">
        <v>1167.76</v>
      </c>
      <c r="J4759" s="291"/>
      <c r="K4759" s="291"/>
      <c r="L4759" s="291"/>
      <c r="M4759" s="291"/>
      <c r="S4759" s="364"/>
      <c r="Z4759" s="609" t="s">
        <v>4269</v>
      </c>
      <c r="AA4759" s="609" t="s">
        <v>5710</v>
      </c>
    </row>
    <row r="4760" spans="1:27" ht="17">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5710</v>
      </c>
    </row>
    <row r="4761" spans="1:27" ht="17">
      <c r="A4761" s="2714"/>
      <c r="B4761" s="371">
        <v>109</v>
      </c>
      <c r="C4761" s="371" t="s">
        <v>6534</v>
      </c>
      <c r="D4761" s="2716">
        <f t="shared" si="521"/>
        <v>0</v>
      </c>
      <c r="E4761" s="2721">
        <v>1</v>
      </c>
      <c r="F4761" s="294"/>
      <c r="G4761" s="409" t="s">
        <v>2792</v>
      </c>
      <c r="H4761" s="383"/>
      <c r="I4761" s="401"/>
      <c r="J4761" s="291"/>
      <c r="K4761" s="291"/>
      <c r="L4761" s="291"/>
      <c r="M4761" s="291"/>
      <c r="S4761" s="364"/>
      <c r="Z4761" s="609" t="s">
        <v>4269</v>
      </c>
      <c r="AA4761" s="609" t="s">
        <v>5710</v>
      </c>
    </row>
    <row r="4762" spans="1:27" ht="17">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5710</v>
      </c>
    </row>
    <row r="4763" spans="1:27" ht="17.5" thickBot="1">
      <c r="A4763" s="2714"/>
      <c r="B4763" s="371"/>
      <c r="C4763" s="371"/>
      <c r="D4763" s="2716">
        <f t="shared" si="521"/>
        <v>1</v>
      </c>
      <c r="E4763" s="2721" t="s">
        <v>2751</v>
      </c>
      <c r="F4763" s="294"/>
      <c r="G4763" s="403" t="s">
        <v>2752</v>
      </c>
      <c r="H4763" s="1498">
        <f>SUMPRODUCT($E4752:$E4762,H4752:H4762)</f>
        <v>1324.91</v>
      </c>
      <c r="I4763" s="1499">
        <f>SUMPRODUCT($E4752:$E4762,I4752:I4762)</f>
        <v>1134.32</v>
      </c>
      <c r="J4763" s="291"/>
      <c r="K4763" s="291"/>
      <c r="L4763" s="291"/>
      <c r="M4763" s="291"/>
      <c r="S4763" s="364"/>
      <c r="Z4763" s="609" t="s">
        <v>4269</v>
      </c>
      <c r="AA4763" s="609" t="s">
        <v>5710</v>
      </c>
    </row>
    <row r="4764" spans="1:27" ht="17">
      <c r="A4764" s="2714"/>
      <c r="B4764" s="371"/>
      <c r="C4764" s="371" t="s">
        <v>2755</v>
      </c>
      <c r="D4764" s="371"/>
      <c r="F4764" s="294"/>
      <c r="G4764" s="301"/>
      <c r="H4764" s="349"/>
      <c r="I4764" s="349"/>
      <c r="J4764" s="291"/>
      <c r="K4764" s="291"/>
      <c r="L4764" s="291"/>
      <c r="M4764" s="291"/>
      <c r="S4764" s="364"/>
      <c r="Z4764" s="609" t="s">
        <v>4269</v>
      </c>
      <c r="AA4764" s="609" t="s">
        <v>5710</v>
      </c>
    </row>
    <row r="4765" spans="1:27" ht="17">
      <c r="A4765" s="2714" t="s">
        <v>1922</v>
      </c>
      <c r="B4765" s="371">
        <v>2</v>
      </c>
      <c r="C4765" s="371"/>
      <c r="D4765" s="2716" t="str">
        <f>VLOOKUP($A4765,Sheet_NoteList,2,0)</f>
        <v>财务费用补充资料</v>
      </c>
      <c r="E4765" s="2716" t="s">
        <v>6533</v>
      </c>
      <c r="F4765" s="294"/>
      <c r="G4765" s="307" t="str">
        <f>"("&amp;B4765&amp;")"&amp;D4765</f>
        <v>(2)财务费用补充资料</v>
      </c>
      <c r="H4765" s="1517" t="str">
        <f>$A4765</f>
        <v>6603x</v>
      </c>
      <c r="I4765" s="343" t="s">
        <v>5975</v>
      </c>
      <c r="J4765" s="301" t="s">
        <v>5989</v>
      </c>
      <c r="K4765" s="2210">
        <f>H4773</f>
        <v>0</v>
      </c>
      <c r="L4765" s="1535"/>
      <c r="M4765" s="301" t="s">
        <v>5990</v>
      </c>
      <c r="N4765" s="2210">
        <f>I4773</f>
        <v>0</v>
      </c>
      <c r="O4765" s="1535"/>
      <c r="P4765" s="301"/>
      <c r="S4765" s="364"/>
      <c r="Z4765" s="609" t="s">
        <v>4269</v>
      </c>
      <c r="AA4765" s="609" t="s">
        <v>5710</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5710</v>
      </c>
    </row>
    <row r="4767" spans="1:27" ht="17">
      <c r="A4767" s="2714"/>
      <c r="B4767" s="371"/>
      <c r="C4767" s="371"/>
      <c r="D4767" s="371"/>
      <c r="E4767" s="586" t="s">
        <v>2749</v>
      </c>
      <c r="F4767" s="363"/>
      <c r="G4767" s="2451" t="s">
        <v>47</v>
      </c>
      <c r="H4767" s="2447" t="str">
        <f>$V$4</f>
        <v>2019年度</v>
      </c>
      <c r="I4767" s="2446" t="str">
        <f>$V$5</f>
        <v>2018年度</v>
      </c>
      <c r="J4767" s="355" t="s">
        <v>6142</v>
      </c>
      <c r="K4767" s="291"/>
      <c r="L4767" s="291"/>
      <c r="M4767" s="291"/>
      <c r="S4767" s="364"/>
      <c r="Z4767" s="609" t="s">
        <v>4269</v>
      </c>
      <c r="AA4767" s="609" t="s">
        <v>5710</v>
      </c>
    </row>
    <row r="4768" spans="1:27" ht="17">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5710</v>
      </c>
    </row>
    <row r="4769" spans="1:29" ht="17">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5710</v>
      </c>
    </row>
    <row r="4770" spans="1:29" ht="17">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5710</v>
      </c>
    </row>
    <row r="4771" spans="1:29" ht="17">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5710</v>
      </c>
    </row>
    <row r="4772" spans="1:29" ht="17">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5710</v>
      </c>
    </row>
    <row r="4773" spans="1:29" ht="1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5710</v>
      </c>
    </row>
    <row r="4774" spans="1:29" ht="17">
      <c r="A4774" s="2714"/>
      <c r="B4774" s="371"/>
      <c r="C4774" s="371" t="s">
        <v>2755</v>
      </c>
      <c r="D4774" s="371"/>
      <c r="F4774" s="294"/>
      <c r="G4774" s="301"/>
      <c r="H4774" s="315"/>
      <c r="I4774" s="315"/>
      <c r="J4774" s="291"/>
      <c r="K4774" s="291"/>
      <c r="L4774" s="291"/>
      <c r="M4774" s="291"/>
      <c r="S4774" s="364"/>
      <c r="Z4774" s="609" t="s">
        <v>4269</v>
      </c>
      <c r="AA4774" s="609" t="s">
        <v>5710</v>
      </c>
    </row>
    <row r="4775" spans="1:29" ht="17">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5711</v>
      </c>
    </row>
    <row r="4776" spans="1:29" ht="17">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0</v>
      </c>
      <c r="L4776" s="349" t="str">
        <f>IF($I4776="适用",IF(ROUND(K$4775-K4776,2)=0,"F/S",ROUND(K$4775-K4776,2)),"#N/A")</f>
        <v>F/S</v>
      </c>
      <c r="M4776" s="301" t="s">
        <v>4211</v>
      </c>
      <c r="N4776" s="2210">
        <f>I4788</f>
        <v>0</v>
      </c>
      <c r="O4776" s="349" t="str">
        <f>IF($I4776="适用",IF(ROUND(N$4775-N4776,2)=0,"F/S",ROUND(N$4775-N4776,2)),"#N/A")</f>
        <v>F/S</v>
      </c>
      <c r="P4776" s="301"/>
      <c r="S4776" s="364"/>
      <c r="Z4776" s="609" t="s">
        <v>4278</v>
      </c>
      <c r="AA4776" s="609" t="s">
        <v>5711</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5711</v>
      </c>
    </row>
    <row r="4778" spans="1:29" ht="26">
      <c r="A4778" s="2714"/>
      <c r="B4778" s="371"/>
      <c r="C4778" s="371"/>
      <c r="D4778" s="2716"/>
      <c r="E4778" s="586" t="s">
        <v>2749</v>
      </c>
      <c r="F4778" s="586"/>
      <c r="G4778" s="2449" t="s">
        <v>4280</v>
      </c>
      <c r="H4778" s="2445" t="str">
        <f>$V$4</f>
        <v>2019年度</v>
      </c>
      <c r="I4778" s="2445" t="str">
        <f>$V$5</f>
        <v>2018年度</v>
      </c>
      <c r="J4778" s="2444" t="s">
        <v>6091</v>
      </c>
      <c r="K4778" s="355" t="s">
        <v>5333</v>
      </c>
      <c r="L4778" s="349"/>
      <c r="M4778" s="301"/>
      <c r="N4778" s="391"/>
      <c r="O4778" s="349"/>
      <c r="P4778" s="301"/>
      <c r="S4778" s="364"/>
      <c r="Z4778" s="609" t="s">
        <v>4278</v>
      </c>
      <c r="AA4778" s="609" t="s">
        <v>5711</v>
      </c>
    </row>
    <row r="4779" spans="1:29" ht="26">
      <c r="A4779" s="2714"/>
      <c r="B4779" s="371">
        <v>101</v>
      </c>
      <c r="C4779" s="371"/>
      <c r="D4779" s="2716">
        <f t="shared" ref="D4779:D4788" si="523">IF(OR(G4779="*",G4779="",G4779=0),0,COUNTIF($G$4779:$G$4788,G4779))</f>
        <v>1</v>
      </c>
      <c r="E4779" s="2721">
        <v>1</v>
      </c>
      <c r="F4779" s="371"/>
      <c r="G4779" s="1474" t="s">
        <v>4281</v>
      </c>
      <c r="H4779" s="1476">
        <f>SUM(H4780:H4783)</f>
        <v>0</v>
      </c>
      <c r="I4779" s="1476">
        <f>SUM(I4780:I4783)</f>
        <v>0</v>
      </c>
      <c r="J4779" s="2276"/>
      <c r="L4779" s="2675"/>
      <c r="M4779" s="2672" t="s">
        <v>6363</v>
      </c>
      <c r="N4779" s="2673" t="s">
        <v>6364</v>
      </c>
      <c r="O4779" s="349"/>
      <c r="P4779" s="301"/>
      <c r="S4779" s="364"/>
      <c r="Z4779" s="609" t="s">
        <v>4278</v>
      </c>
      <c r="AA4779" s="609" t="s">
        <v>5711</v>
      </c>
    </row>
    <row r="4780" spans="1:29" ht="26">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6365</v>
      </c>
      <c r="O4780" s="349"/>
      <c r="P4780" s="301"/>
      <c r="S4780" s="364"/>
      <c r="Z4780" s="609" t="s">
        <v>4278</v>
      </c>
      <c r="AA4780" s="609" t="s">
        <v>5711</v>
      </c>
      <c r="AC4780" s="369" t="s">
        <v>2794</v>
      </c>
    </row>
    <row r="4781" spans="1:29" ht="26">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5711</v>
      </c>
      <c r="AC4781" s="369" t="s">
        <v>2794</v>
      </c>
    </row>
    <row r="4782" spans="1:29" ht="26">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5711</v>
      </c>
    </row>
    <row r="4783" spans="1:29" ht="17">
      <c r="A4783" s="2714"/>
      <c r="B4783" s="371">
        <v>105</v>
      </c>
      <c r="C4783" s="371" t="s">
        <v>2791</v>
      </c>
      <c r="D4783" s="2716">
        <f t="shared" si="523"/>
        <v>0</v>
      </c>
      <c r="E4783" s="2721">
        <v>0</v>
      </c>
      <c r="F4783" s="371"/>
      <c r="G4783" s="2448" t="s">
        <v>2792</v>
      </c>
      <c r="H4783" s="2275"/>
      <c r="I4783" s="2275"/>
      <c r="J4783" s="2276"/>
      <c r="K4783" s="391"/>
      <c r="L4783" s="349"/>
      <c r="M4783" s="301"/>
      <c r="N4783" s="391"/>
      <c r="O4783" s="349"/>
      <c r="P4783" s="301"/>
      <c r="S4783" s="364"/>
      <c r="Z4783" s="609" t="s">
        <v>4278</v>
      </c>
      <c r="AA4783" s="609" t="s">
        <v>5711</v>
      </c>
    </row>
    <row r="4784" spans="1:29" ht="26">
      <c r="A4784" s="2714"/>
      <c r="B4784" s="371">
        <v>106</v>
      </c>
      <c r="C4784" s="371"/>
      <c r="D4784" s="2716">
        <f t="shared" si="523"/>
        <v>1</v>
      </c>
      <c r="E4784" s="2721">
        <v>1</v>
      </c>
      <c r="F4784" s="371"/>
      <c r="G4784" s="1474" t="s">
        <v>6147</v>
      </c>
      <c r="H4784" s="1476">
        <f>SUM(H4785:H4787)</f>
        <v>0</v>
      </c>
      <c r="I4784" s="1476">
        <f>SUM(I4785:I4787)</f>
        <v>0</v>
      </c>
      <c r="J4784" s="2276"/>
      <c r="K4784" s="391"/>
      <c r="L4784" s="349"/>
      <c r="M4784" s="301"/>
      <c r="N4784" s="391"/>
      <c r="O4784" s="349"/>
      <c r="P4784" s="301"/>
      <c r="S4784" s="364"/>
      <c r="Z4784" s="609" t="s">
        <v>4278</v>
      </c>
      <c r="AA4784" s="609" t="s">
        <v>5711</v>
      </c>
    </row>
    <row r="4785" spans="1:27" ht="17">
      <c r="A4785" s="2714"/>
      <c r="B4785" s="371">
        <v>107</v>
      </c>
      <c r="C4785" s="371"/>
      <c r="D4785" s="2716">
        <f t="shared" si="523"/>
        <v>1</v>
      </c>
      <c r="E4785" s="2721">
        <v>0</v>
      </c>
      <c r="F4785" s="371"/>
      <c r="G4785" s="1474" t="s">
        <v>4287</v>
      </c>
      <c r="H4785" s="2275"/>
      <c r="I4785" s="2275"/>
      <c r="J4785" s="2276"/>
      <c r="K4785" s="391"/>
      <c r="L4785" s="349"/>
      <c r="M4785" s="301"/>
      <c r="N4785" s="391"/>
      <c r="O4785" s="349"/>
      <c r="P4785" s="301"/>
      <c r="S4785" s="364"/>
      <c r="Z4785" s="609" t="s">
        <v>4278</v>
      </c>
      <c r="AA4785" s="609" t="s">
        <v>5711</v>
      </c>
    </row>
    <row r="4786" spans="1:27" ht="17">
      <c r="A4786" s="2714"/>
      <c r="B4786" s="371">
        <v>108</v>
      </c>
      <c r="C4786" s="371" t="s">
        <v>2791</v>
      </c>
      <c r="D4786" s="2716">
        <f t="shared" si="523"/>
        <v>0</v>
      </c>
      <c r="E4786" s="2721">
        <v>0</v>
      </c>
      <c r="F4786" s="371"/>
      <c r="G4786" s="2448" t="s">
        <v>2792</v>
      </c>
      <c r="H4786" s="2275"/>
      <c r="I4786" s="2275"/>
      <c r="J4786" s="2276"/>
      <c r="K4786" s="391"/>
      <c r="L4786" s="349"/>
      <c r="M4786" s="301"/>
      <c r="N4786" s="391"/>
      <c r="O4786" s="349"/>
      <c r="P4786" s="301"/>
      <c r="S4786" s="364"/>
      <c r="Z4786" s="609" t="s">
        <v>4278</v>
      </c>
      <c r="AA4786" s="609" t="s">
        <v>5711</v>
      </c>
    </row>
    <row r="4787" spans="1:27" ht="17">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5711</v>
      </c>
    </row>
    <row r="4788" spans="1:27" ht="17.5" thickBot="1">
      <c r="A4788" s="2714"/>
      <c r="B4788" s="371"/>
      <c r="C4788" s="371"/>
      <c r="D4788" s="2716">
        <f t="shared" si="523"/>
        <v>1</v>
      </c>
      <c r="E4788" s="2721" t="s">
        <v>2751</v>
      </c>
      <c r="F4788" s="371"/>
      <c r="G4788" s="374" t="s">
        <v>2752</v>
      </c>
      <c r="H4788" s="1478">
        <f>SUMPRODUCT($E4778:$E4787,H4778:H4787)</f>
        <v>0</v>
      </c>
      <c r="I4788" s="1478">
        <f>SUMPRODUCT($E4778:$E4787,I4778:I4787)</f>
        <v>0</v>
      </c>
      <c r="J4788" s="2260"/>
      <c r="K4788" s="391"/>
      <c r="L4788" s="349"/>
      <c r="M4788" s="301"/>
      <c r="N4788" s="391"/>
      <c r="O4788" s="349"/>
      <c r="P4788" s="301"/>
      <c r="S4788" s="364"/>
      <c r="Z4788" s="609" t="s">
        <v>4278</v>
      </c>
      <c r="AA4788" s="609" t="s">
        <v>5711</v>
      </c>
    </row>
    <row r="4789" spans="1:27" ht="1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5711</v>
      </c>
    </row>
    <row r="4790" spans="1:27" ht="17.5" thickTop="1">
      <c r="A4790" s="2714"/>
      <c r="B4790" s="371"/>
      <c r="C4790" s="371" t="s">
        <v>2565</v>
      </c>
      <c r="D4790" s="2716"/>
      <c r="F4790" s="371"/>
      <c r="G4790" s="1549" t="s">
        <v>5368</v>
      </c>
      <c r="H4790" s="1550" t="str">
        <f>G4269</f>
        <v>(2)递延收益（涉及政府补助的项目）</v>
      </c>
      <c r="I4790" s="1552"/>
      <c r="J4790" s="1551"/>
      <c r="K4790" s="1553" t="s">
        <v>5369</v>
      </c>
      <c r="L4790" s="349"/>
      <c r="M4790" s="301"/>
      <c r="N4790" s="391"/>
      <c r="O4790" s="349"/>
      <c r="P4790" s="301"/>
      <c r="S4790" s="364"/>
      <c r="Z4790" s="609" t="s">
        <v>4278</v>
      </c>
      <c r="AA4790" s="609" t="s">
        <v>5711</v>
      </c>
    </row>
    <row r="4791" spans="1:27" ht="17">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5711</v>
      </c>
    </row>
    <row r="4792" spans="1:27" ht="39">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5711</v>
      </c>
    </row>
    <row r="4793" spans="1:27" ht="39">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5711</v>
      </c>
    </row>
    <row r="4794" spans="1:27" ht="1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5711</v>
      </c>
    </row>
    <row r="4795" spans="1:27" ht="1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5711</v>
      </c>
    </row>
    <row r="4796" spans="1:27" ht="17">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5711</v>
      </c>
    </row>
    <row r="4797" spans="1:27" ht="17">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5711</v>
      </c>
    </row>
    <row r="4798" spans="1:27" ht="17">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5712</v>
      </c>
    </row>
    <row r="4799" spans="1:27" ht="17">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5712</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5712</v>
      </c>
    </row>
    <row r="4801" spans="1:27" ht="17">
      <c r="A4801" s="2714"/>
      <c r="B4801" s="371"/>
      <c r="C4801" s="371"/>
      <c r="D4801" s="371"/>
      <c r="E4801" s="2716" t="s">
        <v>2749</v>
      </c>
      <c r="F4801" s="294"/>
      <c r="G4801" s="378" t="s">
        <v>47</v>
      </c>
      <c r="H4801" s="398" t="str">
        <f>$V$4</f>
        <v>2019年度</v>
      </c>
      <c r="I4801" s="511" t="str">
        <f>$V$5</f>
        <v>2018年度</v>
      </c>
      <c r="J4801" s="355" t="s">
        <v>5334</v>
      </c>
      <c r="K4801" s="291"/>
      <c r="L4801" s="291"/>
      <c r="M4801" s="291"/>
      <c r="S4801" s="364"/>
      <c r="Z4801" s="609" t="s">
        <v>4288</v>
      </c>
      <c r="AA4801" s="609" t="s">
        <v>5712</v>
      </c>
    </row>
    <row r="4802" spans="1:27" ht="26">
      <c r="A4802" s="2714"/>
      <c r="B4802" s="371">
        <v>101</v>
      </c>
      <c r="C4802" s="371"/>
      <c r="D4802" s="2716">
        <f t="shared" ref="D4802:D4818" si="524">IF(OR(G4802="*",G4802="",G4802=0),0,COUNTIF($G$4802:$G$4818,G4802))</f>
        <v>1</v>
      </c>
      <c r="E4802" s="2721">
        <v>1</v>
      </c>
      <c r="F4802" s="294"/>
      <c r="G4802" s="380" t="s">
        <v>4290</v>
      </c>
      <c r="H4802" s="383"/>
      <c r="I4802" s="401"/>
      <c r="J4802" s="291"/>
      <c r="K4802" s="355" t="s">
        <v>6362</v>
      </c>
      <c r="L4802" s="2677" t="s">
        <v>6369</v>
      </c>
      <c r="M4802" s="291"/>
      <c r="S4802" s="364"/>
      <c r="Z4802" s="609" t="s">
        <v>4288</v>
      </c>
      <c r="AA4802" s="609" t="s">
        <v>5712</v>
      </c>
    </row>
    <row r="4803" spans="1:27" ht="26">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5712</v>
      </c>
    </row>
    <row r="4804" spans="1:27" ht="39">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5712</v>
      </c>
    </row>
    <row r="4805" spans="1:27" ht="39">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5712</v>
      </c>
    </row>
    <row r="4806" spans="1:27" ht="26">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5712</v>
      </c>
    </row>
    <row r="4807" spans="1:27" ht="26">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5712</v>
      </c>
    </row>
    <row r="4808" spans="1:27" ht="26">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5712</v>
      </c>
    </row>
    <row r="4809" spans="1:27" ht="39">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5712</v>
      </c>
    </row>
    <row r="4810" spans="1:27" ht="26">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5712</v>
      </c>
    </row>
    <row r="4811" spans="1:27" ht="26">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5712</v>
      </c>
    </row>
    <row r="4812" spans="1:27" ht="26">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5712</v>
      </c>
    </row>
    <row r="4813" spans="1:27" ht="26">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5712</v>
      </c>
    </row>
    <row r="4814" spans="1:27" ht="26">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5712</v>
      </c>
    </row>
    <row r="4815" spans="1:27" ht="26">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5712</v>
      </c>
    </row>
    <row r="4816" spans="1:27" ht="26">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5712</v>
      </c>
    </row>
    <row r="4817" spans="1:27" ht="17">
      <c r="A4817" s="2714"/>
      <c r="B4817" s="371">
        <v>116</v>
      </c>
      <c r="C4817" s="371" t="s">
        <v>2791</v>
      </c>
      <c r="D4817" s="2716">
        <f t="shared" si="524"/>
        <v>0</v>
      </c>
      <c r="E4817" s="2721">
        <v>1</v>
      </c>
      <c r="F4817" s="294"/>
      <c r="G4817" s="409" t="s">
        <v>2792</v>
      </c>
      <c r="H4817" s="383"/>
      <c r="I4817" s="401"/>
      <c r="J4817" s="291"/>
      <c r="K4817" s="291"/>
      <c r="L4817" s="291"/>
      <c r="M4817" s="291"/>
      <c r="S4817" s="364"/>
      <c r="Z4817" s="609" t="s">
        <v>4288</v>
      </c>
      <c r="AA4817" s="609" t="s">
        <v>5712</v>
      </c>
    </row>
    <row r="4818" spans="1:27" ht="17.5" thickBot="1">
      <c r="A4818" s="2714"/>
      <c r="B4818" s="371"/>
      <c r="C4818" s="371"/>
      <c r="D4818" s="2716">
        <f t="shared" si="524"/>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5712</v>
      </c>
    </row>
    <row r="4819" spans="1:27" ht="17">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5712</v>
      </c>
    </row>
    <row r="4820" spans="1:27" ht="17">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6">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7">
      <c r="A4823" s="2714"/>
      <c r="B4823" s="371"/>
      <c r="C4823" s="371"/>
      <c r="D4823" s="2716"/>
      <c r="E4823" s="2716" t="s">
        <v>2749</v>
      </c>
      <c r="F4823" s="293"/>
      <c r="G4823" s="2305" t="s">
        <v>47</v>
      </c>
      <c r="H4823" s="2291" t="str">
        <f>$V$4</f>
        <v>2019年度</v>
      </c>
      <c r="I4823" s="2293" t="str">
        <f>$V$5</f>
        <v>2018年度</v>
      </c>
      <c r="J4823" s="355" t="s">
        <v>5335</v>
      </c>
      <c r="K4823" s="434"/>
      <c r="L4823" s="434"/>
      <c r="M4823" s="435"/>
      <c r="N4823" s="434"/>
      <c r="O4823" s="434"/>
      <c r="P4823" s="435"/>
      <c r="Q4823" s="442"/>
      <c r="R4823" s="443"/>
      <c r="S4823" s="364"/>
      <c r="Z4823" s="609" t="s">
        <v>4305</v>
      </c>
      <c r="AA4823" s="609" t="s">
        <v>4306</v>
      </c>
    </row>
    <row r="4824" spans="1:27" ht="17">
      <c r="A4824" s="2714"/>
      <c r="B4824" s="371">
        <v>101</v>
      </c>
      <c r="C4824" s="371" t="s">
        <v>2791</v>
      </c>
      <c r="D4824" s="2716">
        <f t="shared" ref="D4824:D4832" si="525">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7">
      <c r="A4825" s="2714"/>
      <c r="B4825" s="371">
        <v>102</v>
      </c>
      <c r="C4825" s="371" t="s">
        <v>2791</v>
      </c>
      <c r="D4825" s="2716">
        <f t="shared" si="525"/>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7">
      <c r="A4826" s="2714"/>
      <c r="B4826" s="371">
        <v>103</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7">
      <c r="A4827" s="2714"/>
      <c r="B4827" s="371">
        <v>104</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7">
      <c r="A4828" s="2714"/>
      <c r="B4828" s="371">
        <v>105</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7">
      <c r="A4829" s="2714"/>
      <c r="B4829" s="371">
        <v>106</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7">
      <c r="A4830" s="2714"/>
      <c r="B4830" s="371">
        <v>107</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7">
      <c r="A4831" s="2714"/>
      <c r="B4831" s="371">
        <v>108</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7.5" thickBot="1">
      <c r="A4832" s="2714"/>
      <c r="B4832" s="371"/>
      <c r="C4832" s="371"/>
      <c r="D4832" s="2716">
        <f t="shared" si="525"/>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7">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7">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5714</v>
      </c>
    </row>
    <row r="4835" spans="1:31" ht="26">
      <c r="A4835" s="2714" t="s">
        <v>6092</v>
      </c>
      <c r="B4835" s="371">
        <v>1</v>
      </c>
      <c r="C4835" s="371"/>
      <c r="D4835" s="2716" t="str">
        <f>VLOOKUP($A4835,Sheet_NoteList,2,0)</f>
        <v>公允价值变动收益明细项目列示</v>
      </c>
      <c r="E4835" s="2716" t="s">
        <v>6532</v>
      </c>
      <c r="F4835" s="293"/>
      <c r="G4835" s="372" t="str">
        <f>"("&amp;B4835&amp;")"&amp;D4835</f>
        <v>(1)公允价值变动收益明细项目列示</v>
      </c>
      <c r="H4835" s="1517" t="str">
        <f>$A4835</f>
        <v>6101b</v>
      </c>
      <c r="I4835" s="343" t="s">
        <v>6094</v>
      </c>
      <c r="J4835" s="301" t="s">
        <v>6095</v>
      </c>
      <c r="K4835" s="2210">
        <f>H4846</f>
        <v>0</v>
      </c>
      <c r="L4835" s="349" t="str">
        <f>IF($I4835="适用",IF(ROUND(K$4834-K4835,2)=0,"F/S",ROUND(K$4834-K4835,2)),"#N/A")</f>
        <v>F/S</v>
      </c>
      <c r="M4835" s="301" t="s">
        <v>6096</v>
      </c>
      <c r="N4835" s="2210">
        <f>I4846</f>
        <v>0</v>
      </c>
      <c r="O4835" s="349" t="str">
        <f>IF($I4835="适用",IF(ROUND(N$4834-N4835,2)=0,"F/S",ROUND(N$4834-N4835,2)),"#N/A")</f>
        <v>F/S</v>
      </c>
      <c r="P4835" s="301"/>
      <c r="S4835" s="364"/>
      <c r="Z4835" s="609" t="s">
        <v>4308</v>
      </c>
      <c r="AA4835" s="609" t="s">
        <v>5714</v>
      </c>
    </row>
    <row r="4836" spans="1:31" ht="0.75" customHeight="1" thickBot="1">
      <c r="A4836" s="2714"/>
      <c r="B4836" s="371"/>
      <c r="C4836" s="371"/>
      <c r="D4836" s="2716"/>
      <c r="E4836" s="586"/>
      <c r="F4836" s="586"/>
      <c r="G4836" s="2224" t="s">
        <v>6097</v>
      </c>
      <c r="H4836" s="1617" t="s">
        <v>4223</v>
      </c>
      <c r="I4836" s="371" t="s">
        <v>4224</v>
      </c>
      <c r="J4836" s="301"/>
      <c r="K4836" s="391"/>
      <c r="L4836" s="349"/>
      <c r="M4836" s="301"/>
      <c r="N4836" s="391"/>
      <c r="O4836" s="349"/>
      <c r="P4836" s="301"/>
      <c r="S4836" s="364"/>
      <c r="Z4836" s="609" t="s">
        <v>4308</v>
      </c>
      <c r="AA4836" s="609" t="s">
        <v>5714</v>
      </c>
    </row>
    <row r="4837" spans="1:31" ht="26">
      <c r="A4837" s="2714"/>
      <c r="B4837" s="371"/>
      <c r="C4837" s="371"/>
      <c r="D4837" s="2716"/>
      <c r="E4837" s="586" t="s">
        <v>2749</v>
      </c>
      <c r="F4837" s="414"/>
      <c r="G4837" s="2453" t="s">
        <v>1878</v>
      </c>
      <c r="H4837" s="2523" t="str">
        <f>$V$4</f>
        <v>2019年度</v>
      </c>
      <c r="I4837" s="2524" t="str">
        <f>$V$5</f>
        <v>2018年度</v>
      </c>
      <c r="J4837" s="355" t="s">
        <v>5336</v>
      </c>
      <c r="K4837" s="391"/>
      <c r="L4837" s="349"/>
      <c r="M4837" s="301"/>
      <c r="N4837" s="391"/>
      <c r="O4837" s="349"/>
      <c r="P4837" s="301"/>
      <c r="S4837" s="364"/>
      <c r="Z4837" s="609" t="s">
        <v>4308</v>
      </c>
      <c r="AA4837" s="609" t="s">
        <v>5714</v>
      </c>
    </row>
    <row r="4838" spans="1:31" ht="17">
      <c r="A4838" s="2714"/>
      <c r="B4838" s="371">
        <v>101</v>
      </c>
      <c r="C4838" s="371"/>
      <c r="D4838" s="2716">
        <f t="shared" ref="D4838:D4846" si="526">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5714</v>
      </c>
    </row>
    <row r="4839" spans="1:31" ht="26">
      <c r="A4839" s="2714"/>
      <c r="B4839" s="371">
        <v>102</v>
      </c>
      <c r="C4839" s="371"/>
      <c r="D4839" s="2716">
        <f t="shared" si="526"/>
        <v>1</v>
      </c>
      <c r="E4839" s="2721">
        <v>0</v>
      </c>
      <c r="F4839" s="294"/>
      <c r="G4839" s="1474" t="s">
        <v>4310</v>
      </c>
      <c r="H4839" s="2275"/>
      <c r="I4839" s="2296"/>
      <c r="J4839" s="301"/>
      <c r="K4839" s="391"/>
      <c r="L4839" s="349"/>
      <c r="M4839" s="301"/>
      <c r="N4839" s="391"/>
      <c r="O4839" s="349"/>
      <c r="P4839" s="301"/>
      <c r="S4839" s="364"/>
      <c r="Z4839" s="609" t="s">
        <v>4308</v>
      </c>
      <c r="AA4839" s="609" t="s">
        <v>5714</v>
      </c>
    </row>
    <row r="4840" spans="1:31" ht="26">
      <c r="A4840" s="2714"/>
      <c r="B4840" s="371">
        <v>103</v>
      </c>
      <c r="C4840" s="371"/>
      <c r="D4840" s="2716">
        <f t="shared" si="526"/>
        <v>1</v>
      </c>
      <c r="E4840" s="2721">
        <v>1</v>
      </c>
      <c r="F4840" s="294"/>
      <c r="G4840" s="1474" t="s">
        <v>4311</v>
      </c>
      <c r="H4840" s="2275"/>
      <c r="I4840" s="2296"/>
      <c r="J4840" s="301"/>
      <c r="K4840" s="391"/>
      <c r="L4840" s="349"/>
      <c r="M4840" s="301"/>
      <c r="N4840" s="391"/>
      <c r="O4840" s="349"/>
      <c r="P4840" s="301"/>
      <c r="S4840" s="364"/>
      <c r="Z4840" s="609" t="s">
        <v>4308</v>
      </c>
      <c r="AA4840" s="609" t="s">
        <v>5714</v>
      </c>
    </row>
    <row r="4841" spans="1:31" ht="17">
      <c r="A4841" s="2714"/>
      <c r="B4841" s="371">
        <v>104</v>
      </c>
      <c r="C4841" s="371"/>
      <c r="D4841" s="2716">
        <f t="shared" si="526"/>
        <v>1</v>
      </c>
      <c r="E4841" s="2721">
        <v>1</v>
      </c>
      <c r="F4841" s="294"/>
      <c r="G4841" s="1474" t="s">
        <v>462</v>
      </c>
      <c r="H4841" s="2275"/>
      <c r="I4841" s="2296"/>
      <c r="J4841" s="301"/>
      <c r="K4841" s="391"/>
      <c r="L4841" s="349"/>
      <c r="M4841" s="301"/>
      <c r="N4841" s="391"/>
      <c r="O4841" s="349"/>
      <c r="P4841" s="301"/>
      <c r="S4841" s="364"/>
      <c r="Z4841" s="609" t="s">
        <v>4308</v>
      </c>
      <c r="AA4841" s="609" t="s">
        <v>5714</v>
      </c>
    </row>
    <row r="4842" spans="1:31" ht="26">
      <c r="A4842" s="2714"/>
      <c r="B4842" s="371">
        <v>105</v>
      </c>
      <c r="C4842" s="371"/>
      <c r="D4842" s="2716">
        <f t="shared" si="526"/>
        <v>1</v>
      </c>
      <c r="E4842" s="2721">
        <v>0</v>
      </c>
      <c r="F4842" s="294"/>
      <c r="G4842" s="1474" t="s">
        <v>4312</v>
      </c>
      <c r="H4842" s="2275"/>
      <c r="I4842" s="2296"/>
      <c r="J4842" s="301"/>
      <c r="K4842" s="391"/>
      <c r="L4842" s="349"/>
      <c r="M4842" s="301"/>
      <c r="N4842" s="391"/>
      <c r="O4842" s="349"/>
      <c r="P4842" s="301"/>
      <c r="S4842" s="364"/>
      <c r="Z4842" s="609" t="s">
        <v>4308</v>
      </c>
      <c r="AA4842" s="609" t="s">
        <v>5714</v>
      </c>
    </row>
    <row r="4843" spans="1:31" ht="26">
      <c r="A4843" s="2714"/>
      <c r="B4843" s="371">
        <v>106</v>
      </c>
      <c r="C4843" s="371"/>
      <c r="D4843" s="2716">
        <f t="shared" si="526"/>
        <v>1</v>
      </c>
      <c r="E4843" s="2721">
        <v>1</v>
      </c>
      <c r="F4843" s="294"/>
      <c r="G4843" s="1474" t="s">
        <v>4313</v>
      </c>
      <c r="H4843" s="2275"/>
      <c r="I4843" s="2296"/>
      <c r="J4843" s="301"/>
      <c r="K4843" s="391"/>
      <c r="L4843" s="349"/>
      <c r="M4843" s="301"/>
      <c r="N4843" s="391"/>
      <c r="O4843" s="349"/>
      <c r="P4843" s="301"/>
      <c r="S4843" s="364"/>
      <c r="Z4843" s="609" t="s">
        <v>4308</v>
      </c>
      <c r="AA4843" s="609" t="s">
        <v>5714</v>
      </c>
    </row>
    <row r="4844" spans="1:31" ht="17">
      <c r="A4844" s="2714"/>
      <c r="B4844" s="371">
        <v>107</v>
      </c>
      <c r="C4844" s="371"/>
      <c r="D4844" s="2716">
        <f t="shared" si="526"/>
        <v>1</v>
      </c>
      <c r="E4844" s="2721">
        <v>1</v>
      </c>
      <c r="F4844" s="294"/>
      <c r="G4844" s="1474" t="s">
        <v>329</v>
      </c>
      <c r="H4844" s="2275"/>
      <c r="I4844" s="2296"/>
      <c r="J4844" s="301"/>
      <c r="K4844" s="391"/>
      <c r="L4844" s="349"/>
      <c r="M4844" s="301"/>
      <c r="N4844" s="391"/>
      <c r="O4844" s="349"/>
      <c r="P4844" s="301"/>
      <c r="S4844" s="364"/>
      <c r="Z4844" s="609" t="s">
        <v>4308</v>
      </c>
      <c r="AA4844" s="609" t="s">
        <v>5714</v>
      </c>
    </row>
    <row r="4845" spans="1:31" ht="17">
      <c r="A4845" s="2714"/>
      <c r="B4845" s="371">
        <v>108</v>
      </c>
      <c r="C4845" s="371" t="s">
        <v>2791</v>
      </c>
      <c r="D4845" s="2716">
        <f t="shared" si="526"/>
        <v>0</v>
      </c>
      <c r="E4845" s="2721">
        <v>1</v>
      </c>
      <c r="F4845" s="294"/>
      <c r="G4845" s="2467" t="s">
        <v>2792</v>
      </c>
      <c r="H4845" s="2275"/>
      <c r="I4845" s="2296"/>
      <c r="J4845" s="301"/>
      <c r="K4845" s="391"/>
      <c r="L4845" s="349"/>
      <c r="M4845" s="301"/>
      <c r="N4845" s="391"/>
      <c r="O4845" s="349"/>
      <c r="P4845" s="301"/>
      <c r="S4845" s="364"/>
      <c r="Z4845" s="609" t="s">
        <v>4308</v>
      </c>
      <c r="AA4845" s="609" t="s">
        <v>5714</v>
      </c>
    </row>
    <row r="4846" spans="1:31" ht="17.5" thickBot="1">
      <c r="A4846" s="2714"/>
      <c r="B4846" s="371"/>
      <c r="C4846" s="371"/>
      <c r="D4846" s="2716">
        <f t="shared" si="526"/>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5714</v>
      </c>
    </row>
    <row r="4847" spans="1:31" ht="17">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5714</v>
      </c>
    </row>
    <row r="4848" spans="1:31" ht="26" hidden="1">
      <c r="A4848" s="2714" t="s">
        <v>1876</v>
      </c>
      <c r="B4848" s="371">
        <v>1</v>
      </c>
      <c r="C4848" s="371"/>
      <c r="D4848" s="2716" t="str">
        <f>VLOOKUP($A4848,Sheet_NoteList,2,0)</f>
        <v>公允价值变动收益明细项目</v>
      </c>
      <c r="E4848" s="2716" t="s">
        <v>6633</v>
      </c>
      <c r="F4848" s="294"/>
      <c r="G4848" s="372" t="str">
        <f>"("&amp;B4848&amp;")"&amp;D4848</f>
        <v>(1)公允价值变动收益明细项目</v>
      </c>
      <c r="H4848" s="1517" t="str">
        <f>$A4848</f>
        <v>6101a</v>
      </c>
      <c r="I4848" s="343" t="s">
        <v>6632</v>
      </c>
      <c r="J4848" s="301" t="s">
        <v>6634</v>
      </c>
      <c r="K4848" s="344">
        <f>H4859</f>
        <v>0</v>
      </c>
      <c r="L4848" s="345" t="str">
        <f>IF($I4848="适用",IF(ROUND(K4834-K4848,2)=0,"F/S",ROUND(K4834-K4848,2)),"#N/A")</f>
        <v>#N/A</v>
      </c>
      <c r="M4848" s="301" t="s">
        <v>6635</v>
      </c>
      <c r="N4848" s="344">
        <f>I4859</f>
        <v>0</v>
      </c>
      <c r="O4848" s="345" t="str">
        <f>IF($I4848="适用",IF(ROUND(N4834-N4848,2)=0,"F/S",ROUND(N4834-N4848,2)),"#N/A")</f>
        <v>#N/A</v>
      </c>
      <c r="P4848" s="301"/>
      <c r="Q4848" s="290" t="str">
        <f>IF($I4848="不适用","",IF(ROUND(SUM($H$4851:$I$4859),2)=0,"请输入",""))</f>
        <v/>
      </c>
      <c r="S4848" s="364"/>
      <c r="Z4848" s="609" t="s">
        <v>4308</v>
      </c>
      <c r="AA4848" s="609" t="s">
        <v>5714</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5714</v>
      </c>
      <c r="AE4849" s="369" t="s">
        <v>2761</v>
      </c>
    </row>
    <row r="4850" spans="1:31" ht="26" hidden="1">
      <c r="A4850" s="2714"/>
      <c r="B4850" s="371"/>
      <c r="C4850" s="371"/>
      <c r="D4850" s="371"/>
      <c r="E4850" s="586" t="s">
        <v>2749</v>
      </c>
      <c r="F4850" s="363"/>
      <c r="G4850" s="2569" t="s">
        <v>1878</v>
      </c>
      <c r="H4850" s="2557" t="s">
        <v>4242</v>
      </c>
      <c r="I4850" s="2572" t="s">
        <v>4245</v>
      </c>
      <c r="J4850" s="2452" t="s">
        <v>5991</v>
      </c>
      <c r="K4850" s="291"/>
      <c r="L4850" s="291"/>
      <c r="M4850" s="291"/>
      <c r="S4850" s="364"/>
      <c r="Z4850" s="609" t="s">
        <v>4308</v>
      </c>
      <c r="AA4850" s="609" t="s">
        <v>5714</v>
      </c>
      <c r="AE4850" s="369" t="s">
        <v>2761</v>
      </c>
    </row>
    <row r="4851" spans="1:31" ht="26" hidden="1">
      <c r="A4851" s="2714"/>
      <c r="B4851" s="371">
        <v>101</v>
      </c>
      <c r="C4851" s="371"/>
      <c r="D4851" s="2716">
        <f t="shared" ref="D4851:D4859" si="527">IF(OR(G4851="*",G4851="",G4851=0),0,COUNTIF($G$4851:$G$4859,G4851))</f>
        <v>1</v>
      </c>
      <c r="E4851" s="2721">
        <v>1</v>
      </c>
      <c r="F4851" s="294"/>
      <c r="G4851" s="1474" t="s">
        <v>6099</v>
      </c>
      <c r="H4851" s="2275"/>
      <c r="I4851" s="2296"/>
      <c r="J4851" s="291"/>
      <c r="K4851" s="291"/>
      <c r="L4851" s="291"/>
      <c r="M4851" s="291"/>
      <c r="S4851" s="364"/>
      <c r="Z4851" s="609" t="s">
        <v>4308</v>
      </c>
      <c r="AA4851" s="609" t="s">
        <v>5714</v>
      </c>
      <c r="AE4851" s="369" t="s">
        <v>2761</v>
      </c>
    </row>
    <row r="4852" spans="1:31" ht="26" hidden="1">
      <c r="A4852" s="2714"/>
      <c r="B4852" s="371">
        <v>102</v>
      </c>
      <c r="C4852" s="371"/>
      <c r="D4852" s="2716">
        <f t="shared" si="527"/>
        <v>1</v>
      </c>
      <c r="E4852" s="2721">
        <v>0</v>
      </c>
      <c r="F4852" s="294"/>
      <c r="G4852" s="1474" t="s">
        <v>6100</v>
      </c>
      <c r="H4852" s="2275"/>
      <c r="I4852" s="2296"/>
      <c r="J4852" s="291"/>
      <c r="K4852" s="291"/>
      <c r="L4852" s="291"/>
      <c r="M4852" s="291"/>
      <c r="S4852" s="364"/>
      <c r="Z4852" s="609" t="s">
        <v>4308</v>
      </c>
      <c r="AA4852" s="609" t="s">
        <v>5714</v>
      </c>
      <c r="AE4852" s="369" t="s">
        <v>2761</v>
      </c>
    </row>
    <row r="4853" spans="1:31" ht="26" hidden="1">
      <c r="A4853" s="2714"/>
      <c r="B4853" s="371">
        <v>103</v>
      </c>
      <c r="C4853" s="371"/>
      <c r="D4853" s="2716">
        <f t="shared" si="527"/>
        <v>1</v>
      </c>
      <c r="E4853" s="2721">
        <v>1</v>
      </c>
      <c r="F4853" s="294"/>
      <c r="G4853" s="1474" t="s">
        <v>6101</v>
      </c>
      <c r="H4853" s="2275"/>
      <c r="I4853" s="2296"/>
      <c r="J4853" s="291"/>
      <c r="K4853" s="291"/>
      <c r="L4853" s="291"/>
      <c r="M4853" s="291"/>
      <c r="S4853" s="364"/>
      <c r="Z4853" s="609" t="s">
        <v>4308</v>
      </c>
      <c r="AA4853" s="609" t="s">
        <v>5714</v>
      </c>
      <c r="AE4853" s="369" t="s">
        <v>2761</v>
      </c>
    </row>
    <row r="4854" spans="1:31" ht="26" hidden="1">
      <c r="A4854" s="2714"/>
      <c r="B4854" s="371">
        <v>104</v>
      </c>
      <c r="C4854" s="371"/>
      <c r="D4854" s="2716">
        <f t="shared" si="527"/>
        <v>1</v>
      </c>
      <c r="E4854" s="2721">
        <v>1</v>
      </c>
      <c r="F4854" s="294"/>
      <c r="G4854" s="1474" t="s">
        <v>4313</v>
      </c>
      <c r="H4854" s="2275"/>
      <c r="I4854" s="2296"/>
      <c r="J4854" s="291"/>
      <c r="K4854" s="291"/>
      <c r="L4854" s="291"/>
      <c r="M4854" s="291"/>
      <c r="S4854" s="364"/>
      <c r="Z4854" s="609" t="s">
        <v>4308</v>
      </c>
      <c r="AA4854" s="609" t="s">
        <v>5714</v>
      </c>
      <c r="AE4854" s="369" t="s">
        <v>2761</v>
      </c>
    </row>
    <row r="4855" spans="1:31" ht="17" hidden="1">
      <c r="A4855" s="2714"/>
      <c r="B4855" s="371">
        <v>105</v>
      </c>
      <c r="C4855" s="371"/>
      <c r="D4855" s="2716">
        <f t="shared" si="527"/>
        <v>1</v>
      </c>
      <c r="E4855" s="2721">
        <v>1</v>
      </c>
      <c r="F4855" s="294"/>
      <c r="G4855" s="1474" t="s">
        <v>6098</v>
      </c>
      <c r="H4855" s="2275"/>
      <c r="I4855" s="2296"/>
      <c r="J4855" s="291"/>
      <c r="K4855" s="291"/>
      <c r="L4855" s="291"/>
      <c r="M4855" s="291"/>
      <c r="S4855" s="364"/>
      <c r="Z4855" s="609" t="s">
        <v>4308</v>
      </c>
      <c r="AA4855" s="609" t="s">
        <v>5714</v>
      </c>
      <c r="AE4855" s="369" t="s">
        <v>2761</v>
      </c>
    </row>
    <row r="4856" spans="1:31" ht="17" hidden="1">
      <c r="A4856" s="2714"/>
      <c r="B4856" s="371">
        <v>106</v>
      </c>
      <c r="C4856" s="371"/>
      <c r="D4856" s="2716">
        <f t="shared" si="527"/>
        <v>1</v>
      </c>
      <c r="E4856" s="2721">
        <v>1</v>
      </c>
      <c r="F4856" s="294"/>
      <c r="G4856" s="1474" t="s">
        <v>932</v>
      </c>
      <c r="H4856" s="2275"/>
      <c r="I4856" s="2296"/>
      <c r="J4856" s="291"/>
      <c r="K4856" s="291"/>
      <c r="L4856" s="291"/>
      <c r="M4856" s="291"/>
      <c r="S4856" s="364"/>
      <c r="Z4856" s="609" t="s">
        <v>4308</v>
      </c>
      <c r="AA4856" s="609" t="s">
        <v>5714</v>
      </c>
      <c r="AE4856" s="369" t="s">
        <v>2761</v>
      </c>
    </row>
    <row r="4857" spans="1:31" ht="17" hidden="1">
      <c r="A4857" s="2714"/>
      <c r="B4857" s="371">
        <v>107</v>
      </c>
      <c r="C4857" s="371" t="s">
        <v>2791</v>
      </c>
      <c r="D4857" s="2716">
        <f t="shared" si="527"/>
        <v>0</v>
      </c>
      <c r="E4857" s="2721">
        <v>1</v>
      </c>
      <c r="F4857" s="294"/>
      <c r="G4857" s="2467" t="s">
        <v>5146</v>
      </c>
      <c r="H4857" s="2275"/>
      <c r="I4857" s="2296"/>
      <c r="J4857" s="291"/>
      <c r="K4857" s="291"/>
      <c r="L4857" s="291"/>
      <c r="M4857" s="291"/>
      <c r="S4857" s="364"/>
      <c r="Z4857" s="609" t="s">
        <v>4308</v>
      </c>
      <c r="AA4857" s="609" t="s">
        <v>5714</v>
      </c>
      <c r="AE4857" s="369" t="s">
        <v>2761</v>
      </c>
    </row>
    <row r="4858" spans="1:31" ht="17" hidden="1">
      <c r="A4858" s="2714"/>
      <c r="B4858" s="371">
        <v>108</v>
      </c>
      <c r="C4858" s="371" t="s">
        <v>2791</v>
      </c>
      <c r="D4858" s="2716">
        <f t="shared" si="527"/>
        <v>0</v>
      </c>
      <c r="E4858" s="2721">
        <v>1</v>
      </c>
      <c r="F4858" s="294"/>
      <c r="G4858" s="2467" t="s">
        <v>2792</v>
      </c>
      <c r="H4858" s="2275"/>
      <c r="I4858" s="2296"/>
      <c r="J4858" s="291"/>
      <c r="K4858" s="291"/>
      <c r="L4858" s="291"/>
      <c r="M4858" s="291"/>
      <c r="S4858" s="364"/>
      <c r="Z4858" s="609" t="s">
        <v>4308</v>
      </c>
      <c r="AA4858" s="609" t="s">
        <v>5714</v>
      </c>
      <c r="AE4858" s="369" t="s">
        <v>2761</v>
      </c>
    </row>
    <row r="4859" spans="1:31" ht="17.5" hidden="1" thickBot="1">
      <c r="A4859" s="2714"/>
      <c r="B4859" s="371"/>
      <c r="C4859" s="371"/>
      <c r="D4859" s="2716">
        <f t="shared" si="527"/>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5714</v>
      </c>
      <c r="AE4859" s="369" t="s">
        <v>2761</v>
      </c>
    </row>
    <row r="4860" spans="1:31" ht="17"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5714</v>
      </c>
      <c r="AE4860" s="369" t="s">
        <v>2761</v>
      </c>
    </row>
    <row r="4861" spans="1:31" ht="17">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0</v>
      </c>
      <c r="L4861" s="342"/>
      <c r="M4861" s="306" t="s">
        <v>4207</v>
      </c>
      <c r="N4861" s="341">
        <f>VLOOKUP($A4861,Sheet_Trialbal,10,0)</f>
        <v>0</v>
      </c>
      <c r="O4861" s="342"/>
      <c r="P4861" s="301"/>
      <c r="S4861" s="364"/>
      <c r="Z4861" s="609" t="s">
        <v>4314</v>
      </c>
      <c r="AA4861" s="609" t="s">
        <v>4315</v>
      </c>
    </row>
    <row r="4862" spans="1:31" ht="17">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0</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7.5" thickTop="1">
      <c r="A4864" s="2714"/>
      <c r="B4864" s="371"/>
      <c r="C4864" s="371"/>
      <c r="D4864" s="2716"/>
      <c r="E4864" s="2716" t="s">
        <v>2749</v>
      </c>
      <c r="F4864" s="293"/>
      <c r="G4864" s="2305" t="s">
        <v>47</v>
      </c>
      <c r="H4864" s="2291" t="str">
        <f>$V$4</f>
        <v>2019年度</v>
      </c>
      <c r="I4864" s="2293" t="str">
        <f>$V$5</f>
        <v>2018年度</v>
      </c>
      <c r="J4864" s="355" t="s">
        <v>5337</v>
      </c>
      <c r="K4864" s="1584" t="s">
        <v>5497</v>
      </c>
      <c r="L4864" s="1584" t="s">
        <v>5498</v>
      </c>
      <c r="M4864" s="1584" t="s">
        <v>5499</v>
      </c>
      <c r="N4864" s="434"/>
      <c r="O4864" s="434"/>
      <c r="P4864" s="435"/>
      <c r="Q4864" s="442"/>
      <c r="R4864" s="443"/>
      <c r="S4864" s="364"/>
      <c r="Z4864" s="609" t="s">
        <v>4314</v>
      </c>
      <c r="AA4864" s="609" t="s">
        <v>4315</v>
      </c>
    </row>
    <row r="4865" spans="1:27" ht="17">
      <c r="A4865" s="2714"/>
      <c r="B4865" s="371">
        <v>101</v>
      </c>
      <c r="C4865" s="371"/>
      <c r="D4865" s="2716">
        <f t="shared" ref="D4865:D4873" si="528">IF(OR(G4865="*",G4865="",G4865=0),0,COUNTIF($G$4865:$G$4873,G4865))</f>
        <v>1</v>
      </c>
      <c r="E4865" s="2721">
        <v>1</v>
      </c>
      <c r="F4865" s="293"/>
      <c r="G4865" s="308" t="s">
        <v>4317</v>
      </c>
      <c r="H4865" s="309"/>
      <c r="I4865" s="1475">
        <v>0</v>
      </c>
      <c r="J4865" s="438"/>
      <c r="K4865" s="1587" t="s">
        <v>5500</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7">
      <c r="A4866" s="2714"/>
      <c r="B4866" s="371">
        <v>102</v>
      </c>
      <c r="C4866" s="371"/>
      <c r="D4866" s="2716">
        <f t="shared" si="528"/>
        <v>1</v>
      </c>
      <c r="E4866" s="2721">
        <v>1</v>
      </c>
      <c r="F4866" s="293"/>
      <c r="G4866" s="308" t="s">
        <v>4318</v>
      </c>
      <c r="H4866" s="309"/>
      <c r="I4866" s="1475">
        <v>0</v>
      </c>
      <c r="J4866" s="438"/>
      <c r="K4866" s="1587" t="s">
        <v>5501</v>
      </c>
      <c r="L4866" s="1588">
        <f ca="1">HYPERLINK("#'"&amp;$G$1&amp;"'!"&amp;ADDRESS(ROW(Notes!K592),COLUMN(Notes!K592),4),K592)</f>
        <v>0</v>
      </c>
      <c r="M4866" s="1544">
        <f t="shared" ref="M4866:M4871" ca="1" si="529">L4866-H4866</f>
        <v>0</v>
      </c>
      <c r="N4866" s="437"/>
      <c r="O4866" s="437"/>
      <c r="P4866" s="438"/>
      <c r="Q4866" s="442"/>
      <c r="R4866" s="443"/>
      <c r="S4866" s="364"/>
      <c r="Z4866" s="609" t="s">
        <v>4314</v>
      </c>
      <c r="AA4866" s="609" t="s">
        <v>4315</v>
      </c>
    </row>
    <row r="4867" spans="1:27" ht="17">
      <c r="A4867" s="2714"/>
      <c r="B4867" s="371">
        <v>103</v>
      </c>
      <c r="C4867" s="371"/>
      <c r="D4867" s="2716">
        <f t="shared" si="528"/>
        <v>1</v>
      </c>
      <c r="E4867" s="2721">
        <v>1</v>
      </c>
      <c r="F4867" s="293"/>
      <c r="G4867" s="1474" t="s">
        <v>4319</v>
      </c>
      <c r="H4867" s="309"/>
      <c r="I4867" s="1475">
        <v>0</v>
      </c>
      <c r="J4867" s="438"/>
      <c r="K4867" s="1587" t="s">
        <v>5502</v>
      </c>
      <c r="L4867" s="1588">
        <f ca="1">HYPERLINK("#'"&amp;$G$1&amp;"'!"&amp;ADDRESS(ROW(Notes!K1482),COLUMN(Notes!K1482),4),K1482)</f>
        <v>0</v>
      </c>
      <c r="M4867" s="1544">
        <f t="shared" ca="1" si="529"/>
        <v>0</v>
      </c>
      <c r="N4867" s="437"/>
      <c r="O4867" s="437"/>
      <c r="P4867" s="438"/>
      <c r="Q4867" s="442"/>
      <c r="R4867" s="443"/>
      <c r="S4867" s="364"/>
      <c r="Z4867" s="609" t="s">
        <v>4314</v>
      </c>
      <c r="AA4867" s="609" t="s">
        <v>4315</v>
      </c>
    </row>
    <row r="4868" spans="1:27" ht="17">
      <c r="A4868" s="2714"/>
      <c r="B4868" s="371">
        <v>104</v>
      </c>
      <c r="C4868" s="371"/>
      <c r="D4868" s="2716">
        <f t="shared" si="528"/>
        <v>1</v>
      </c>
      <c r="E4868" s="2721">
        <v>1</v>
      </c>
      <c r="F4868" s="293"/>
      <c r="G4868" s="308" t="s">
        <v>4320</v>
      </c>
      <c r="H4868" s="309"/>
      <c r="I4868" s="1475">
        <v>0</v>
      </c>
      <c r="J4868" s="438"/>
      <c r="K4868" s="1587" t="s">
        <v>5503</v>
      </c>
      <c r="L4868" s="1588">
        <f ca="1">HYPERLINK("#'"&amp;$G$1&amp;"'!"&amp;ADDRESS(ROW(Notes!K856),COLUMN(Notes!K856),4),HYPERLINK("#'"&amp;$G$1&amp;"'!"&amp;ADDRESS(ROW(Notes!K856),COLUMN(Notes!K856),4),K856))</f>
        <v>0</v>
      </c>
      <c r="M4868" s="1544">
        <f t="shared" ca="1" si="529"/>
        <v>0</v>
      </c>
      <c r="N4868" s="437"/>
      <c r="O4868" s="437"/>
      <c r="P4868" s="438"/>
      <c r="Q4868" s="442"/>
      <c r="R4868" s="443"/>
      <c r="S4868" s="364"/>
      <c r="Z4868" s="609" t="s">
        <v>4314</v>
      </c>
      <c r="AA4868" s="609" t="s">
        <v>4315</v>
      </c>
    </row>
    <row r="4869" spans="1:27" ht="17">
      <c r="A4869" s="2714"/>
      <c r="B4869" s="371">
        <v>105</v>
      </c>
      <c r="C4869" s="371"/>
      <c r="D4869" s="2716">
        <f t="shared" si="528"/>
        <v>1</v>
      </c>
      <c r="E4869" s="2721">
        <v>1</v>
      </c>
      <c r="F4869" s="293"/>
      <c r="G4869" s="1474" t="s">
        <v>4321</v>
      </c>
      <c r="H4869" s="309"/>
      <c r="I4869" s="1475">
        <v>0</v>
      </c>
      <c r="J4869" s="438"/>
      <c r="K4869" s="2671" t="s">
        <v>6370</v>
      </c>
      <c r="L4869" s="1588">
        <f ca="1">HYPERLINK("#'"&amp;$G$1&amp;"'!"&amp;ADDRESS(ROW(Notes!K1918),COLUMN(Notes!K1918),4),K1918)</f>
        <v>0</v>
      </c>
      <c r="M4869" s="1544">
        <f t="shared" ca="1" si="529"/>
        <v>0</v>
      </c>
      <c r="N4869" s="437"/>
      <c r="O4869" s="437"/>
      <c r="P4869" s="438"/>
      <c r="Q4869" s="442"/>
      <c r="R4869" s="443"/>
      <c r="S4869" s="364"/>
      <c r="Z4869" s="609" t="s">
        <v>4314</v>
      </c>
      <c r="AA4869" s="609" t="s">
        <v>4315</v>
      </c>
    </row>
    <row r="4870" spans="1:27" ht="17">
      <c r="A4870" s="2714"/>
      <c r="B4870" s="371">
        <v>106</v>
      </c>
      <c r="C4870" s="371"/>
      <c r="D4870" s="2716">
        <f t="shared" si="528"/>
        <v>1</v>
      </c>
      <c r="E4870" s="2721">
        <v>1</v>
      </c>
      <c r="F4870" s="293"/>
      <c r="G4870" s="1474" t="s">
        <v>4322</v>
      </c>
      <c r="H4870" s="309"/>
      <c r="I4870" s="1475">
        <v>0</v>
      </c>
      <c r="J4870" s="438"/>
      <c r="K4870" s="1587" t="s">
        <v>5504</v>
      </c>
      <c r="L4870" s="1588">
        <f ca="1">HYPERLINK("#'"&amp;$G$1&amp;"'!"&amp;ADDRESS(ROW(Notes!K2128),COLUMN(Notes!K2128),4),K2128)</f>
        <v>0</v>
      </c>
      <c r="M4870" s="1544">
        <f t="shared" ca="1" si="529"/>
        <v>0</v>
      </c>
      <c r="N4870" s="437"/>
      <c r="O4870" s="437"/>
      <c r="P4870" s="438"/>
      <c r="Q4870" s="442"/>
      <c r="R4870" s="443"/>
      <c r="S4870" s="364"/>
      <c r="Z4870" s="609" t="s">
        <v>4314</v>
      </c>
      <c r="AA4870" s="609" t="s">
        <v>4315</v>
      </c>
    </row>
    <row r="4871" spans="1:27" ht="17">
      <c r="A4871" s="2714"/>
      <c r="B4871" s="371">
        <v>107</v>
      </c>
      <c r="C4871" s="371"/>
      <c r="D4871" s="2716">
        <f t="shared" si="528"/>
        <v>1</v>
      </c>
      <c r="E4871" s="2721">
        <v>1</v>
      </c>
      <c r="F4871" s="293"/>
      <c r="G4871" s="1474" t="s">
        <v>4323</v>
      </c>
      <c r="H4871" s="309"/>
      <c r="I4871" s="1475">
        <v>0</v>
      </c>
      <c r="J4871" s="438"/>
      <c r="K4871" s="1587" t="s">
        <v>5505</v>
      </c>
      <c r="L4871" s="1588">
        <f ca="1">HYPERLINK("#'"&amp;$G$1&amp;"'!"&amp;ADDRESS(ROW(Notes!K2340),COLUMN(Notes!K2340),4),K2340)</f>
        <v>0</v>
      </c>
      <c r="M4871" s="1544">
        <f t="shared" ca="1" si="529"/>
        <v>0</v>
      </c>
      <c r="N4871" s="437"/>
      <c r="O4871" s="437"/>
      <c r="P4871" s="438"/>
      <c r="Q4871" s="442"/>
      <c r="R4871" s="443"/>
      <c r="S4871" s="364"/>
      <c r="Z4871" s="609" t="s">
        <v>4314</v>
      </c>
      <c r="AA4871" s="609" t="s">
        <v>4315</v>
      </c>
    </row>
    <row r="4872" spans="1:27" ht="17">
      <c r="A4872" s="2714"/>
      <c r="B4872" s="371">
        <v>108</v>
      </c>
      <c r="C4872" s="371" t="s">
        <v>2791</v>
      </c>
      <c r="D4872" s="2716">
        <f t="shared" si="528"/>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7.5" thickBot="1">
      <c r="A4873" s="2714"/>
      <c r="B4873" s="371"/>
      <c r="C4873" s="371"/>
      <c r="D4873" s="2716">
        <f t="shared" si="528"/>
        <v>1</v>
      </c>
      <c r="E4873" s="2721" t="s">
        <v>2751</v>
      </c>
      <c r="F4873" s="293"/>
      <c r="G4873" s="2234" t="s">
        <v>2752</v>
      </c>
      <c r="H4873" s="2325">
        <f>SUMPRODUCT($E4864:$E4872,H4864:H4872)</f>
        <v>0</v>
      </c>
      <c r="I4873" s="2342">
        <f>SUMPRODUCT($E4864:$E4872,I4864:I4872)</f>
        <v>0</v>
      </c>
      <c r="J4873" s="440"/>
      <c r="M4873" s="1557">
        <f t="shared" ref="M4873" ca="1" si="530">SUM(M4865:M4872)</f>
        <v>0</v>
      </c>
      <c r="N4873" s="437"/>
      <c r="O4873" s="437"/>
      <c r="P4873" s="440"/>
      <c r="Q4873" s="442"/>
      <c r="R4873" s="443"/>
      <c r="S4873" s="364"/>
      <c r="Z4873" s="609" t="s">
        <v>4314</v>
      </c>
      <c r="AA4873" s="609" t="s">
        <v>4315</v>
      </c>
    </row>
    <row r="4874" spans="1:27" ht="17">
      <c r="A4874" s="2714"/>
      <c r="B4874" s="371"/>
      <c r="C4874" s="371" t="s">
        <v>2755</v>
      </c>
      <c r="D4874" s="2716"/>
      <c r="F4874" s="293"/>
      <c r="G4874" s="376"/>
      <c r="H4874" s="315"/>
      <c r="I4874" s="396"/>
      <c r="J4874" s="425"/>
      <c r="K4874" s="1585" t="s">
        <v>5496</v>
      </c>
      <c r="L4874" s="427"/>
      <c r="O4874" s="427"/>
      <c r="P4874" s="425"/>
      <c r="Q4874" s="442"/>
      <c r="R4874" s="443"/>
      <c r="S4874" s="364"/>
      <c r="Z4874" s="609" t="s">
        <v>4314</v>
      </c>
      <c r="AA4874" s="609" t="s">
        <v>4315</v>
      </c>
    </row>
    <row r="4875" spans="1:27" ht="17">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0</v>
      </c>
      <c r="O4875" s="306"/>
      <c r="P4875" s="301"/>
      <c r="S4875" s="364"/>
      <c r="Z4875" s="609" t="s">
        <v>4324</v>
      </c>
      <c r="AA4875" s="609" t="s">
        <v>5715</v>
      </c>
    </row>
    <row r="4876" spans="1:27" ht="17">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0</v>
      </c>
      <c r="O4876" s="345" t="str">
        <f>IF($I4876="适用",IF(ROUND(N4875-N4876,2)=0,"F/S",ROUND(N4875-N4876,2)),"#N/A")</f>
        <v>F/S</v>
      </c>
      <c r="P4876" s="301"/>
      <c r="Q4876" s="290" t="str">
        <f>IF($I4876="不适用","",IF(ROUND(SUM($H$4879:$I$4895),2)=0,"请输入",""))</f>
        <v>请输入</v>
      </c>
      <c r="S4876" s="364"/>
      <c r="Z4876" s="609" t="s">
        <v>4324</v>
      </c>
      <c r="AA4876" s="609" t="s">
        <v>5715</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5715</v>
      </c>
    </row>
    <row r="4878" spans="1:27" ht="17.5" thickTop="1">
      <c r="A4878" s="2714"/>
      <c r="B4878" s="371"/>
      <c r="C4878" s="371"/>
      <c r="D4878" s="371"/>
      <c r="E4878" s="2716" t="s">
        <v>2749</v>
      </c>
      <c r="F4878" s="294"/>
      <c r="G4878" s="2608" t="s">
        <v>47</v>
      </c>
      <c r="H4878" s="2609" t="str">
        <f>$V$4</f>
        <v>2019年度</v>
      </c>
      <c r="I4878" s="2610" t="str">
        <f>$V$5</f>
        <v>2018年度</v>
      </c>
      <c r="J4878" s="355" t="s">
        <v>5338</v>
      </c>
      <c r="K4878" s="1584" t="s">
        <v>5497</v>
      </c>
      <c r="L4878" s="1584" t="s">
        <v>5498</v>
      </c>
      <c r="M4878" s="1530" t="s">
        <v>5507</v>
      </c>
      <c r="S4878" s="364"/>
      <c r="Z4878" s="609" t="s">
        <v>4324</v>
      </c>
      <c r="AA4878" s="609" t="s">
        <v>5715</v>
      </c>
    </row>
    <row r="4879" spans="1:27" ht="17">
      <c r="A4879" s="2714"/>
      <c r="B4879" s="371">
        <v>101</v>
      </c>
      <c r="C4879" s="371"/>
      <c r="D4879" s="2716">
        <f t="shared" ref="D4879:D4895" si="531">IF(OR(G4879="*",G4879="",G4879=0),0,COUNTIF($G$4879:$G$4895,G4879))</f>
        <v>1</v>
      </c>
      <c r="E4879" s="2721">
        <v>1</v>
      </c>
      <c r="F4879" s="294"/>
      <c r="G4879" s="380" t="s">
        <v>4326</v>
      </c>
      <c r="H4879" s="2329">
        <v>0</v>
      </c>
      <c r="I4879" s="401"/>
      <c r="J4879" s="291"/>
      <c r="K4879" s="1586"/>
      <c r="L4879" s="1590"/>
      <c r="M4879" s="456"/>
      <c r="S4879" s="364"/>
      <c r="Z4879" s="609" t="s">
        <v>4324</v>
      </c>
      <c r="AA4879" s="609" t="s">
        <v>5715</v>
      </c>
    </row>
    <row r="4880" spans="1:27" ht="17">
      <c r="A4880" s="2714"/>
      <c r="B4880" s="371">
        <v>102</v>
      </c>
      <c r="C4880" s="371"/>
      <c r="D4880" s="2716">
        <f t="shared" si="531"/>
        <v>1</v>
      </c>
      <c r="E4880" s="2721">
        <v>1</v>
      </c>
      <c r="F4880" s="294"/>
      <c r="G4880" s="380" t="s">
        <v>4327</v>
      </c>
      <c r="H4880" s="383"/>
      <c r="I4880" s="401"/>
      <c r="J4880" s="291"/>
      <c r="K4880" s="1587" t="s">
        <v>5508</v>
      </c>
      <c r="L4880" s="1588">
        <f ca="1">HYPERLINK("#'"&amp;$G$1&amp;"'!"&amp;ADDRESS(ROW(Notes!I1653),COLUMN(Notes!I1653),4),I1653)</f>
        <v>0</v>
      </c>
      <c r="M4880" s="456">
        <f ca="1">L4880-H4880</f>
        <v>0</v>
      </c>
      <c r="S4880" s="364"/>
      <c r="Z4880" s="609" t="s">
        <v>4324</v>
      </c>
      <c r="AA4880" s="609" t="s">
        <v>5715</v>
      </c>
    </row>
    <row r="4881" spans="1:27" ht="26">
      <c r="A4881" s="2714"/>
      <c r="B4881" s="371">
        <v>103</v>
      </c>
      <c r="C4881" s="371"/>
      <c r="D4881" s="2716">
        <f t="shared" si="531"/>
        <v>1</v>
      </c>
      <c r="E4881" s="2721">
        <v>1</v>
      </c>
      <c r="F4881" s="294"/>
      <c r="G4881" s="380" t="s">
        <v>4328</v>
      </c>
      <c r="H4881" s="2329">
        <v>0</v>
      </c>
      <c r="I4881" s="401"/>
      <c r="J4881" s="291"/>
      <c r="K4881" s="1586"/>
      <c r="L4881" s="1590"/>
      <c r="M4881" s="456"/>
      <c r="S4881" s="364"/>
      <c r="Z4881" s="609" t="s">
        <v>4324</v>
      </c>
      <c r="AA4881" s="609" t="s">
        <v>5715</v>
      </c>
    </row>
    <row r="4882" spans="1:27" ht="26">
      <c r="A4882" s="2714"/>
      <c r="B4882" s="371">
        <v>104</v>
      </c>
      <c r="C4882" s="371"/>
      <c r="D4882" s="2716">
        <f t="shared" si="531"/>
        <v>1</v>
      </c>
      <c r="E4882" s="2721">
        <v>1</v>
      </c>
      <c r="F4882" s="294"/>
      <c r="G4882" s="380" t="s">
        <v>4329</v>
      </c>
      <c r="H4882" s="2329">
        <v>0</v>
      </c>
      <c r="I4882" s="401"/>
      <c r="J4882" s="291"/>
      <c r="K4882" s="1586"/>
      <c r="L4882" s="1590"/>
      <c r="M4882" s="456"/>
      <c r="S4882" s="364"/>
      <c r="Z4882" s="609" t="s">
        <v>4324</v>
      </c>
      <c r="AA4882" s="609" t="s">
        <v>5715</v>
      </c>
    </row>
    <row r="4883" spans="1:27" ht="17">
      <c r="A4883" s="2714"/>
      <c r="B4883" s="371">
        <v>105</v>
      </c>
      <c r="C4883" s="371"/>
      <c r="D4883" s="2716">
        <f t="shared" si="531"/>
        <v>1</v>
      </c>
      <c r="E4883" s="2721">
        <v>1</v>
      </c>
      <c r="F4883" s="294"/>
      <c r="G4883" s="380" t="s">
        <v>4330</v>
      </c>
      <c r="H4883" s="383"/>
      <c r="I4883" s="401"/>
      <c r="J4883" s="291"/>
      <c r="K4883" s="1587" t="s">
        <v>5509</v>
      </c>
      <c r="L4883" s="1588">
        <f ca="1">HYPERLINK("#'"&amp;$G$1&amp;"'!"&amp;ADDRESS(ROW(Notes!O2494),COLUMN(Notes!O2494),4),O2494)</f>
        <v>0</v>
      </c>
      <c r="M4883" s="456">
        <f t="shared" ref="M4883:M4892" ca="1" si="532">L4883-H4883</f>
        <v>0</v>
      </c>
      <c r="S4883" s="364"/>
      <c r="Z4883" s="609" t="s">
        <v>4324</v>
      </c>
      <c r="AA4883" s="609" t="s">
        <v>5715</v>
      </c>
    </row>
    <row r="4884" spans="1:27" ht="17">
      <c r="A4884" s="2714"/>
      <c r="B4884" s="371">
        <v>106</v>
      </c>
      <c r="C4884" s="371"/>
      <c r="D4884" s="2716">
        <f t="shared" si="531"/>
        <v>1</v>
      </c>
      <c r="E4884" s="2721">
        <v>1</v>
      </c>
      <c r="F4884" s="294"/>
      <c r="G4884" s="380" t="s">
        <v>4331</v>
      </c>
      <c r="H4884" s="383"/>
      <c r="I4884" s="401"/>
      <c r="J4884" s="291"/>
      <c r="K4884" s="1587" t="s">
        <v>5510</v>
      </c>
      <c r="L4884" s="1588">
        <f ca="1">HYPERLINK("#'"&amp;$G$1&amp;"'!"&amp;ADDRESS(ROW(Notes!K2587),COLUMN(Notes!K2587),4),K2587)</f>
        <v>0</v>
      </c>
      <c r="M4884" s="456">
        <f t="shared" ca="1" si="532"/>
        <v>0</v>
      </c>
      <c r="S4884" s="364"/>
      <c r="Z4884" s="609" t="s">
        <v>4324</v>
      </c>
      <c r="AA4884" s="609" t="s">
        <v>5715</v>
      </c>
    </row>
    <row r="4885" spans="1:27" ht="17">
      <c r="A4885" s="2714"/>
      <c r="B4885" s="371">
        <v>107</v>
      </c>
      <c r="C4885" s="371"/>
      <c r="D4885" s="2716">
        <f t="shared" si="531"/>
        <v>1</v>
      </c>
      <c r="E4885" s="2721">
        <v>1</v>
      </c>
      <c r="F4885" s="294"/>
      <c r="G4885" s="380" t="s">
        <v>4332</v>
      </c>
      <c r="H4885" s="383"/>
      <c r="I4885" s="401"/>
      <c r="J4885" s="291"/>
      <c r="K4885" s="1587" t="s">
        <v>5511</v>
      </c>
      <c r="L4885" s="1588">
        <f ca="1">HYPERLINK("#'"&amp;$G$1&amp;"'!"&amp;ADDRESS(ROW(Notes!L2685),COLUMN(Notes!L2685),4),L2685)</f>
        <v>0</v>
      </c>
      <c r="M4885" s="456">
        <f t="shared" ca="1" si="532"/>
        <v>0</v>
      </c>
      <c r="S4885" s="364"/>
      <c r="Z4885" s="609" t="s">
        <v>4324</v>
      </c>
      <c r="AA4885" s="609" t="s">
        <v>5715</v>
      </c>
    </row>
    <row r="4886" spans="1:27" ht="17">
      <c r="A4886" s="2714"/>
      <c r="B4886" s="371">
        <v>108</v>
      </c>
      <c r="C4886" s="371"/>
      <c r="D4886" s="2716">
        <f t="shared" si="531"/>
        <v>1</v>
      </c>
      <c r="E4886" s="2721">
        <v>1</v>
      </c>
      <c r="F4886" s="294"/>
      <c r="G4886" s="380" t="s">
        <v>4333</v>
      </c>
      <c r="H4886" s="383"/>
      <c r="I4886" s="401"/>
      <c r="J4886" s="291"/>
      <c r="K4886" s="2671" t="s">
        <v>6639</v>
      </c>
      <c r="L4886" s="1588">
        <f ca="1">HYPERLINK("#'"&amp;$G$1&amp;"'!"&amp;ADDRESS(ROW(Notes!I2917),COLUMN(Notes!I2917),4),I2917-L2917)</f>
        <v>0</v>
      </c>
      <c r="M4886" s="456">
        <f t="shared" ca="1" si="532"/>
        <v>0</v>
      </c>
      <c r="N4886" s="2264" t="s">
        <v>6371</v>
      </c>
      <c r="S4886" s="364"/>
      <c r="Z4886" s="609" t="s">
        <v>4324</v>
      </c>
      <c r="AA4886" s="609" t="s">
        <v>5715</v>
      </c>
    </row>
    <row r="4887" spans="1:27" ht="17">
      <c r="A4887" s="2714"/>
      <c r="B4887" s="371">
        <v>109</v>
      </c>
      <c r="C4887" s="371"/>
      <c r="D4887" s="2716">
        <f t="shared" si="531"/>
        <v>1</v>
      </c>
      <c r="E4887" s="2721">
        <v>1</v>
      </c>
      <c r="F4887" s="294"/>
      <c r="G4887" s="380" t="s">
        <v>4334</v>
      </c>
      <c r="H4887" s="383"/>
      <c r="I4887" s="401"/>
      <c r="J4887" s="291"/>
      <c r="K4887" s="1587" t="s">
        <v>5512</v>
      </c>
      <c r="L4887" s="1588">
        <f ca="1">HYPERLINK("#'"&amp;$G$1&amp;"'!"&amp;ADDRESS(ROW(Notes!H2888),COLUMN(Notes!H2888),4),H2888-I2888)</f>
        <v>0</v>
      </c>
      <c r="M4887" s="456">
        <f t="shared" ca="1" si="532"/>
        <v>0</v>
      </c>
      <c r="N4887" s="2264" t="s">
        <v>6371</v>
      </c>
      <c r="S4887" s="364"/>
      <c r="Z4887" s="609" t="s">
        <v>4324</v>
      </c>
      <c r="AA4887" s="609" t="s">
        <v>5715</v>
      </c>
    </row>
    <row r="4888" spans="1:27" ht="26">
      <c r="A4888" s="2714"/>
      <c r="B4888" s="371">
        <v>110</v>
      </c>
      <c r="C4888" s="371"/>
      <c r="D4888" s="2716">
        <f t="shared" si="531"/>
        <v>1</v>
      </c>
      <c r="E4888" s="2721">
        <v>1</v>
      </c>
      <c r="F4888" s="294"/>
      <c r="G4888" s="380" t="s">
        <v>4335</v>
      </c>
      <c r="H4888" s="383"/>
      <c r="I4888" s="401"/>
      <c r="J4888" s="291"/>
      <c r="K4888" s="1587" t="s">
        <v>5513</v>
      </c>
      <c r="L4888" s="1588">
        <f ca="1">HYPERLINK("#'"&amp;$G$1&amp;"'!"&amp;ADDRESS(ROW(Notes!K2966),COLUMN(Notes!K2966),4),K2966)</f>
        <v>0</v>
      </c>
      <c r="M4888" s="456">
        <f t="shared" ca="1" si="532"/>
        <v>0</v>
      </c>
      <c r="S4888" s="364"/>
      <c r="Z4888" s="609" t="s">
        <v>4324</v>
      </c>
      <c r="AA4888" s="609" t="s">
        <v>5715</v>
      </c>
    </row>
    <row r="4889" spans="1:27" ht="17">
      <c r="A4889" s="2714"/>
      <c r="B4889" s="371">
        <v>111</v>
      </c>
      <c r="C4889" s="371"/>
      <c r="D4889" s="2716">
        <f t="shared" si="531"/>
        <v>1</v>
      </c>
      <c r="E4889" s="2721">
        <v>1</v>
      </c>
      <c r="F4889" s="294"/>
      <c r="G4889" s="380" t="s">
        <v>4336</v>
      </c>
      <c r="H4889" s="383"/>
      <c r="I4889" s="401"/>
      <c r="J4889" s="291"/>
      <c r="K4889" s="1587" t="s">
        <v>5514</v>
      </c>
      <c r="L4889" s="1588">
        <f ca="1">HYPERLINK("#'"&amp;$G$1&amp;"'!"&amp;ADDRESS(ROW(Notes!L3031),COLUMN(Notes!L3031),4),L3031)</f>
        <v>0</v>
      </c>
      <c r="M4889" s="456">
        <f t="shared" ca="1" si="532"/>
        <v>0</v>
      </c>
      <c r="S4889" s="364"/>
      <c r="Z4889" s="609" t="s">
        <v>4324</v>
      </c>
      <c r="AA4889" s="609" t="s">
        <v>5715</v>
      </c>
    </row>
    <row r="4890" spans="1:27" ht="17">
      <c r="A4890" s="2714"/>
      <c r="B4890" s="371">
        <v>112</v>
      </c>
      <c r="C4890" s="371"/>
      <c r="D4890" s="2716">
        <f t="shared" si="531"/>
        <v>1</v>
      </c>
      <c r="E4890" s="2721">
        <v>1</v>
      </c>
      <c r="F4890" s="294"/>
      <c r="G4890" s="380" t="s">
        <v>4337</v>
      </c>
      <c r="H4890" s="383"/>
      <c r="I4890" s="401"/>
      <c r="J4890" s="291"/>
      <c r="K4890" s="1587" t="s">
        <v>5515</v>
      </c>
      <c r="L4890" s="1588">
        <f ca="1">HYPERLINK("#'"&amp;$G$1&amp;"'!"&amp;ADDRESS(ROW(Notes!L3089),COLUMN(Notes!L3089),4),L3089)</f>
        <v>0</v>
      </c>
      <c r="M4890" s="456">
        <f t="shared" ca="1" si="532"/>
        <v>0</v>
      </c>
      <c r="S4890" s="364"/>
      <c r="Z4890" s="609" t="s">
        <v>4324</v>
      </c>
      <c r="AA4890" s="609" t="s">
        <v>5715</v>
      </c>
    </row>
    <row r="4891" spans="1:27" ht="17">
      <c r="A4891" s="2714"/>
      <c r="B4891" s="371">
        <v>113</v>
      </c>
      <c r="C4891" s="371"/>
      <c r="D4891" s="2716">
        <f t="shared" si="531"/>
        <v>1</v>
      </c>
      <c r="E4891" s="2721">
        <v>1</v>
      </c>
      <c r="F4891" s="294"/>
      <c r="G4891" s="380" t="s">
        <v>4338</v>
      </c>
      <c r="H4891" s="383"/>
      <c r="I4891" s="401"/>
      <c r="J4891" s="291"/>
      <c r="K4891" s="1587" t="s">
        <v>5516</v>
      </c>
      <c r="L4891" s="1588">
        <f ca="1">HYPERLINK("#'"&amp;$G$1&amp;"'!"&amp;ADDRESS(ROW(Notes!I3210),COLUMN(Notes!I3210),4),I3210)</f>
        <v>0</v>
      </c>
      <c r="M4891" s="456">
        <f t="shared" ca="1" si="532"/>
        <v>0</v>
      </c>
      <c r="S4891" s="364"/>
      <c r="Z4891" s="609" t="s">
        <v>4324</v>
      </c>
      <c r="AA4891" s="609" t="s">
        <v>5715</v>
      </c>
    </row>
    <row r="4892" spans="1:27" ht="26">
      <c r="A4892" s="2714"/>
      <c r="B4892" s="371">
        <v>114</v>
      </c>
      <c r="C4892" s="371"/>
      <c r="D4892" s="2716">
        <f t="shared" si="531"/>
        <v>1</v>
      </c>
      <c r="E4892" s="2721">
        <v>1</v>
      </c>
      <c r="F4892" s="294"/>
      <c r="G4892" s="380" t="s">
        <v>4339</v>
      </c>
      <c r="H4892" s="383"/>
      <c r="I4892" s="401"/>
      <c r="J4892" s="291"/>
      <c r="K4892" s="1587" t="s">
        <v>5517</v>
      </c>
      <c r="L4892" s="1588">
        <f ca="1">HYPERLINK("#'"&amp;$G$1&amp;"'!"&amp;ADDRESS(ROW(Notes!I1787),COLUMN(Notes!I1787),4),I1787)</f>
        <v>0</v>
      </c>
      <c r="M4892" s="456">
        <f t="shared" ca="1" si="532"/>
        <v>0</v>
      </c>
      <c r="S4892" s="364"/>
      <c r="Z4892" s="609" t="s">
        <v>4324</v>
      </c>
      <c r="AA4892" s="609" t="s">
        <v>5715</v>
      </c>
    </row>
    <row r="4893" spans="1:27" ht="17">
      <c r="A4893" s="2714"/>
      <c r="B4893" s="371">
        <v>115</v>
      </c>
      <c r="C4893" s="371" t="s">
        <v>2791</v>
      </c>
      <c r="D4893" s="2716">
        <f t="shared" si="531"/>
        <v>0</v>
      </c>
      <c r="E4893" s="2721">
        <v>1</v>
      </c>
      <c r="F4893" s="294"/>
      <c r="G4893" s="409" t="s">
        <v>2792</v>
      </c>
      <c r="H4893" s="383"/>
      <c r="I4893" s="401"/>
      <c r="J4893" s="291"/>
      <c r="K4893" s="1586"/>
      <c r="L4893" s="1590"/>
      <c r="M4893" s="456"/>
      <c r="S4893" s="364"/>
      <c r="Z4893" s="609" t="s">
        <v>4324</v>
      </c>
      <c r="AA4893" s="609" t="s">
        <v>5715</v>
      </c>
    </row>
    <row r="4894" spans="1:27" ht="17">
      <c r="A4894" s="2714"/>
      <c r="B4894" s="371">
        <v>116</v>
      </c>
      <c r="C4894" s="371" t="s">
        <v>2791</v>
      </c>
      <c r="D4894" s="2716">
        <f t="shared" si="531"/>
        <v>0</v>
      </c>
      <c r="E4894" s="2721">
        <v>1</v>
      </c>
      <c r="F4894" s="294"/>
      <c r="G4894" s="409" t="s">
        <v>2792</v>
      </c>
      <c r="H4894" s="383"/>
      <c r="I4894" s="401"/>
      <c r="J4894" s="291"/>
      <c r="K4894" s="1586"/>
      <c r="L4894" s="1590"/>
      <c r="M4894" s="456"/>
      <c r="S4894" s="364"/>
      <c r="Z4894" s="609" t="s">
        <v>4324</v>
      </c>
      <c r="AA4894" s="609" t="s">
        <v>5715</v>
      </c>
    </row>
    <row r="4895" spans="1:27" ht="17.5" thickBot="1">
      <c r="A4895" s="2714"/>
      <c r="B4895" s="371"/>
      <c r="C4895" s="371"/>
      <c r="D4895" s="2716">
        <f t="shared" si="531"/>
        <v>1</v>
      </c>
      <c r="E4895" s="2721" t="s">
        <v>2751</v>
      </c>
      <c r="F4895" s="294"/>
      <c r="G4895" s="2330" t="s">
        <v>2752</v>
      </c>
      <c r="H4895" s="2331">
        <f>SUMPRODUCT($E4878:$E4894,H4878:H4894)</f>
        <v>0</v>
      </c>
      <c r="I4895" s="2332">
        <f>SUMPRODUCT($E4878:$E4894,I4878:I4894)</f>
        <v>0</v>
      </c>
      <c r="J4895" s="291"/>
      <c r="M4895" s="1531">
        <f t="shared" ref="M4895" ca="1" si="533">SUM(M4879:M4894)</f>
        <v>0</v>
      </c>
      <c r="S4895" s="364"/>
      <c r="Z4895" s="609" t="s">
        <v>4324</v>
      </c>
      <c r="AA4895" s="609" t="s">
        <v>5715</v>
      </c>
    </row>
    <row r="4896" spans="1:27" ht="17">
      <c r="A4896" s="2714"/>
      <c r="B4896" s="371"/>
      <c r="C4896" s="371" t="s">
        <v>2755</v>
      </c>
      <c r="D4896" s="371"/>
      <c r="F4896" s="294"/>
      <c r="G4896" s="301"/>
      <c r="H4896" s="349"/>
      <c r="I4896" s="349"/>
      <c r="J4896" s="291"/>
      <c r="K4896" s="1539" t="s">
        <v>5506</v>
      </c>
      <c r="N4896" s="354"/>
      <c r="S4896" s="364"/>
      <c r="Z4896" s="609" t="s">
        <v>4324</v>
      </c>
      <c r="AA4896" s="609" t="s">
        <v>5715</v>
      </c>
    </row>
    <row r="4897" spans="1:27" ht="17">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5716</v>
      </c>
    </row>
    <row r="4898" spans="1:27" ht="17">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5716</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5716</v>
      </c>
    </row>
    <row r="4900" spans="1:27" ht="17">
      <c r="A4900" s="2714"/>
      <c r="B4900" s="371"/>
      <c r="C4900" s="371"/>
      <c r="D4900" s="2716"/>
      <c r="E4900" s="2716" t="s">
        <v>2749</v>
      </c>
      <c r="F4900" s="371"/>
      <c r="G4900" s="373" t="s">
        <v>47</v>
      </c>
      <c r="H4900" s="406" t="str">
        <f>$V$4</f>
        <v>2019年度</v>
      </c>
      <c r="I4900" s="417" t="str">
        <f>$V$5</f>
        <v>2018年度</v>
      </c>
      <c r="J4900" s="355" t="s">
        <v>5339</v>
      </c>
      <c r="K4900" s="391"/>
      <c r="L4900" s="349"/>
      <c r="M4900" s="301"/>
      <c r="N4900" s="391"/>
      <c r="O4900" s="349"/>
      <c r="P4900" s="301"/>
      <c r="S4900" s="364"/>
      <c r="Z4900" s="609" t="s">
        <v>4340</v>
      </c>
      <c r="AA4900" s="609" t="s">
        <v>5716</v>
      </c>
    </row>
    <row r="4901" spans="1:27" ht="78">
      <c r="A4901" s="2714"/>
      <c r="B4901" s="371">
        <v>101</v>
      </c>
      <c r="C4901" s="371"/>
      <c r="D4901" s="2716">
        <f t="shared" ref="D4901:D4910" si="534">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5716</v>
      </c>
    </row>
    <row r="4902" spans="1:27" ht="52">
      <c r="A4902" s="2714"/>
      <c r="B4902" s="371">
        <v>102</v>
      </c>
      <c r="C4902" s="371"/>
      <c r="D4902" s="2716">
        <f t="shared" si="534"/>
        <v>1</v>
      </c>
      <c r="E4902" s="2721">
        <v>1</v>
      </c>
      <c r="F4902" s="371"/>
      <c r="G4902" s="308" t="s">
        <v>4343</v>
      </c>
      <c r="H4902" s="309"/>
      <c r="I4902" s="394"/>
      <c r="J4902" s="301"/>
      <c r="K4902" s="391"/>
      <c r="L4902" s="349"/>
      <c r="M4902" s="301"/>
      <c r="N4902" s="391"/>
      <c r="O4902" s="349"/>
      <c r="P4902" s="301"/>
      <c r="S4902" s="364"/>
      <c r="Z4902" s="609" t="s">
        <v>4340</v>
      </c>
      <c r="AA4902" s="609" t="s">
        <v>5716</v>
      </c>
    </row>
    <row r="4903" spans="1:27" ht="17">
      <c r="A4903" s="2714"/>
      <c r="B4903" s="371">
        <v>103</v>
      </c>
      <c r="C4903" s="371"/>
      <c r="D4903" s="2716">
        <f t="shared" si="534"/>
        <v>1</v>
      </c>
      <c r="E4903" s="2721">
        <v>0</v>
      </c>
      <c r="F4903" s="371"/>
      <c r="G4903" s="603" t="s">
        <v>353</v>
      </c>
      <c r="H4903" s="309"/>
      <c r="I4903" s="394"/>
      <c r="J4903" s="301"/>
      <c r="K4903" s="391"/>
      <c r="L4903" s="349"/>
      <c r="M4903" s="301"/>
      <c r="N4903" s="391"/>
      <c r="O4903" s="349"/>
      <c r="P4903" s="301"/>
      <c r="S4903" s="364"/>
      <c r="Z4903" s="609" t="s">
        <v>4340</v>
      </c>
      <c r="AA4903" s="609" t="s">
        <v>5716</v>
      </c>
    </row>
    <row r="4904" spans="1:27" ht="17">
      <c r="A4904" s="2714"/>
      <c r="B4904" s="371">
        <v>104</v>
      </c>
      <c r="C4904" s="371"/>
      <c r="D4904" s="2716">
        <f t="shared" si="534"/>
        <v>1</v>
      </c>
      <c r="E4904" s="2721">
        <v>0</v>
      </c>
      <c r="F4904" s="371"/>
      <c r="G4904" s="603" t="s">
        <v>396</v>
      </c>
      <c r="H4904" s="309"/>
      <c r="I4904" s="394"/>
      <c r="J4904" s="301"/>
      <c r="K4904" s="391"/>
      <c r="L4904" s="349"/>
      <c r="M4904" s="301"/>
      <c r="N4904" s="391"/>
      <c r="O4904" s="349"/>
      <c r="P4904" s="301"/>
      <c r="S4904" s="364"/>
      <c r="Z4904" s="609" t="s">
        <v>4340</v>
      </c>
      <c r="AA4904" s="609" t="s">
        <v>5716</v>
      </c>
    </row>
    <row r="4905" spans="1:27" ht="17">
      <c r="A4905" s="2714"/>
      <c r="B4905" s="371">
        <v>105</v>
      </c>
      <c r="C4905" s="371"/>
      <c r="D4905" s="2716">
        <f t="shared" si="534"/>
        <v>1</v>
      </c>
      <c r="E4905" s="2721">
        <v>0</v>
      </c>
      <c r="F4905" s="371"/>
      <c r="G4905" s="603" t="s">
        <v>344</v>
      </c>
      <c r="H4905" s="309"/>
      <c r="I4905" s="394"/>
      <c r="J4905" s="301"/>
      <c r="K4905" s="391"/>
      <c r="L4905" s="349"/>
      <c r="M4905" s="301"/>
      <c r="N4905" s="391"/>
      <c r="O4905" s="349"/>
      <c r="P4905" s="301"/>
      <c r="S4905" s="364"/>
      <c r="Z4905" s="609" t="s">
        <v>4340</v>
      </c>
      <c r="AA4905" s="609" t="s">
        <v>5716</v>
      </c>
    </row>
    <row r="4906" spans="1:27" ht="17">
      <c r="A4906" s="2714"/>
      <c r="B4906" s="371">
        <v>106</v>
      </c>
      <c r="C4906" s="371"/>
      <c r="D4906" s="2716">
        <f t="shared" si="534"/>
        <v>1</v>
      </c>
      <c r="E4906" s="2721">
        <v>0</v>
      </c>
      <c r="F4906" s="371"/>
      <c r="G4906" s="603" t="s">
        <v>381</v>
      </c>
      <c r="H4906" s="309"/>
      <c r="I4906" s="394"/>
      <c r="J4906" s="301"/>
      <c r="K4906" s="391"/>
      <c r="L4906" s="349"/>
      <c r="M4906" s="301"/>
      <c r="N4906" s="391"/>
      <c r="O4906" s="349"/>
      <c r="P4906" s="301"/>
      <c r="S4906" s="364"/>
      <c r="Z4906" s="609" t="s">
        <v>4340</v>
      </c>
      <c r="AA4906" s="609" t="s">
        <v>5716</v>
      </c>
    </row>
    <row r="4907" spans="1:27" ht="52">
      <c r="A4907" s="2714"/>
      <c r="B4907" s="371">
        <v>107</v>
      </c>
      <c r="C4907" s="371"/>
      <c r="D4907" s="2716">
        <f t="shared" si="534"/>
        <v>1</v>
      </c>
      <c r="E4907" s="2721">
        <v>1</v>
      </c>
      <c r="F4907" s="371"/>
      <c r="G4907" s="308" t="s">
        <v>4344</v>
      </c>
      <c r="H4907" s="309"/>
      <c r="I4907" s="394"/>
      <c r="J4907" s="301"/>
      <c r="K4907" s="391"/>
      <c r="L4907" s="349"/>
      <c r="M4907" s="301"/>
      <c r="N4907" s="391"/>
      <c r="O4907" s="349"/>
      <c r="P4907" s="301"/>
      <c r="S4907" s="364"/>
      <c r="Z4907" s="609" t="s">
        <v>4340</v>
      </c>
      <c r="AA4907" s="609" t="s">
        <v>5716</v>
      </c>
    </row>
    <row r="4908" spans="1:27" ht="52">
      <c r="A4908" s="2714"/>
      <c r="B4908" s="371">
        <v>108</v>
      </c>
      <c r="C4908" s="371"/>
      <c r="D4908" s="2716">
        <f t="shared" si="534"/>
        <v>1</v>
      </c>
      <c r="E4908" s="2721">
        <v>1</v>
      </c>
      <c r="F4908" s="371"/>
      <c r="G4908" s="319" t="s">
        <v>4345</v>
      </c>
      <c r="H4908" s="309"/>
      <c r="I4908" s="394"/>
      <c r="J4908" s="301"/>
      <c r="K4908" s="391"/>
      <c r="L4908" s="349"/>
      <c r="M4908" s="301"/>
      <c r="N4908" s="391"/>
      <c r="O4908" s="349"/>
      <c r="P4908" s="301"/>
      <c r="S4908" s="364"/>
      <c r="Z4908" s="609" t="s">
        <v>4340</v>
      </c>
      <c r="AA4908" s="609" t="s">
        <v>5716</v>
      </c>
    </row>
    <row r="4909" spans="1:27" ht="17">
      <c r="A4909" s="2714"/>
      <c r="B4909" s="371">
        <v>109</v>
      </c>
      <c r="C4909" s="371" t="s">
        <v>2791</v>
      </c>
      <c r="D4909" s="2716">
        <f t="shared" si="534"/>
        <v>0</v>
      </c>
      <c r="E4909" s="2721">
        <v>1</v>
      </c>
      <c r="F4909" s="371"/>
      <c r="G4909" s="319" t="s">
        <v>2792</v>
      </c>
      <c r="H4909" s="309"/>
      <c r="I4909" s="394"/>
      <c r="J4909" s="301"/>
      <c r="K4909" s="391"/>
      <c r="L4909" s="349"/>
      <c r="M4909" s="301"/>
      <c r="N4909" s="391"/>
      <c r="O4909" s="349"/>
      <c r="P4909" s="301"/>
      <c r="S4909" s="364"/>
      <c r="Z4909" s="609" t="s">
        <v>4340</v>
      </c>
      <c r="AA4909" s="609" t="s">
        <v>5716</v>
      </c>
    </row>
    <row r="4910" spans="1:27" ht="17.5" thickBot="1">
      <c r="A4910" s="2714"/>
      <c r="B4910" s="371"/>
      <c r="C4910" s="371"/>
      <c r="D4910" s="2716">
        <f t="shared" si="534"/>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5716</v>
      </c>
    </row>
    <row r="4911" spans="1:27" ht="17">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5716</v>
      </c>
    </row>
    <row r="4912" spans="1:27" ht="17">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5717</v>
      </c>
    </row>
    <row r="4913" spans="1:29" ht="17">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0</v>
      </c>
      <c r="L4913" s="345" t="str">
        <f>IF($I4913="适用",IF(ROUND(K$4912-K4913,2)=0,"F/S",ROUND(K$4912-K4913,2)),"#N/A")</f>
        <v>F/S</v>
      </c>
      <c r="M4913" s="301" t="s">
        <v>4211</v>
      </c>
      <c r="N4913" s="2210">
        <f>I4924</f>
        <v>0</v>
      </c>
      <c r="O4913" s="345" t="str">
        <f>IF($I4913="适用",IF(ROUND(N$4912-N4913,2)=0,"F/S",ROUND(N$4912-N4913,2)),"#N/A")</f>
        <v>F/S</v>
      </c>
      <c r="P4913" s="301"/>
      <c r="Q4913" s="290" t="str">
        <f>IF($I4913="不适用","",IF(ROUND(SUM($H$4916:$J$4924),2)=0,"请输入",""))</f>
        <v>请输入</v>
      </c>
      <c r="S4913" s="364"/>
      <c r="Z4913" s="609" t="s">
        <v>4148</v>
      </c>
      <c r="AA4913" s="609" t="s">
        <v>5717</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5717</v>
      </c>
    </row>
    <row r="4915" spans="1:29" ht="39">
      <c r="A4915" s="2714"/>
      <c r="B4915" s="371"/>
      <c r="C4915" s="371"/>
      <c r="D4915" s="371"/>
      <c r="E4915" s="2716" t="s">
        <v>2749</v>
      </c>
      <c r="F4915" s="294"/>
      <c r="G4915" s="378" t="s">
        <v>47</v>
      </c>
      <c r="H4915" s="398" t="str">
        <f>$V$4</f>
        <v>2019年度</v>
      </c>
      <c r="I4915" s="398" t="str">
        <f>$V$5</f>
        <v>2018年度</v>
      </c>
      <c r="J4915" s="511" t="s">
        <v>4348</v>
      </c>
      <c r="K4915" s="355" t="s">
        <v>5340</v>
      </c>
      <c r="L4915" s="291"/>
      <c r="M4915" s="291"/>
      <c r="N4915" s="291"/>
      <c r="S4915" s="364"/>
      <c r="Z4915" s="609" t="s">
        <v>4148</v>
      </c>
      <c r="AA4915" s="609" t="s">
        <v>5717</v>
      </c>
    </row>
    <row r="4916" spans="1:29" ht="17">
      <c r="A4916" s="2714"/>
      <c r="B4916" s="371">
        <v>101</v>
      </c>
      <c r="C4916" s="371"/>
      <c r="D4916" s="2716">
        <f t="shared" ref="D4916:D4924" si="535">IF(OR(G4916="*",G4916="",G4916=0),0,COUNTIF($G$4916:$G$4924,G4916))</f>
        <v>1</v>
      </c>
      <c r="E4916" s="2721">
        <v>1</v>
      </c>
      <c r="F4916" s="294"/>
      <c r="G4916" s="380" t="s">
        <v>4349</v>
      </c>
      <c r="H4916" s="383"/>
      <c r="I4916" s="383"/>
      <c r="J4916" s="401"/>
      <c r="K4916" s="424"/>
      <c r="L4916" s="291"/>
      <c r="M4916" s="291"/>
      <c r="N4916" s="291"/>
      <c r="S4916" s="364"/>
      <c r="Z4916" s="609" t="s">
        <v>4148</v>
      </c>
      <c r="AA4916" s="609" t="s">
        <v>5717</v>
      </c>
    </row>
    <row r="4917" spans="1:29" ht="17">
      <c r="A4917" s="2714"/>
      <c r="B4917" s="371">
        <v>102</v>
      </c>
      <c r="C4917" s="371"/>
      <c r="D4917" s="2716">
        <f t="shared" si="535"/>
        <v>1</v>
      </c>
      <c r="E4917" s="2721">
        <v>1</v>
      </c>
      <c r="F4917" s="294"/>
      <c r="G4917" s="380" t="s">
        <v>4350</v>
      </c>
      <c r="H4917" s="383"/>
      <c r="I4917" s="383"/>
      <c r="J4917" s="401"/>
      <c r="K4917" s="291"/>
      <c r="L4917" s="291"/>
      <c r="M4917" s="291"/>
      <c r="N4917" s="291"/>
      <c r="S4917" s="364"/>
      <c r="Z4917" s="609" t="s">
        <v>4148</v>
      </c>
      <c r="AA4917" s="609" t="s">
        <v>5717</v>
      </c>
    </row>
    <row r="4918" spans="1:29" ht="26">
      <c r="A4918" s="2714"/>
      <c r="B4918" s="371">
        <v>103</v>
      </c>
      <c r="C4918" s="371"/>
      <c r="D4918" s="2716">
        <f t="shared" si="535"/>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5717</v>
      </c>
      <c r="AC4918" s="369" t="s">
        <v>6575</v>
      </c>
    </row>
    <row r="4919" spans="1:29" ht="17">
      <c r="A4919" s="2714"/>
      <c r="B4919" s="371">
        <v>104</v>
      </c>
      <c r="C4919" s="371"/>
      <c r="D4919" s="2716">
        <f t="shared" si="535"/>
        <v>1</v>
      </c>
      <c r="E4919" s="2721">
        <v>1</v>
      </c>
      <c r="F4919" s="294"/>
      <c r="G4919" s="380" t="s">
        <v>4351</v>
      </c>
      <c r="H4919" s="383"/>
      <c r="I4919" s="383"/>
      <c r="J4919" s="401"/>
      <c r="K4919" s="357"/>
      <c r="L4919" s="291"/>
      <c r="M4919" s="291"/>
      <c r="N4919" s="291"/>
      <c r="S4919" s="364"/>
      <c r="Z4919" s="609" t="s">
        <v>4148</v>
      </c>
      <c r="AA4919" s="609" t="s">
        <v>5717</v>
      </c>
    </row>
    <row r="4920" spans="1:29" ht="17">
      <c r="A4920" s="2714"/>
      <c r="B4920" s="371">
        <v>105</v>
      </c>
      <c r="C4920" s="371" t="s">
        <v>2791</v>
      </c>
      <c r="D4920" s="2716">
        <f t="shared" si="535"/>
        <v>0</v>
      </c>
      <c r="E4920" s="2721">
        <v>1</v>
      </c>
      <c r="F4920" s="294"/>
      <c r="G4920" s="409" t="s">
        <v>2792</v>
      </c>
      <c r="H4920" s="383"/>
      <c r="I4920" s="383"/>
      <c r="J4920" s="401"/>
      <c r="K4920" s="291"/>
      <c r="L4920" s="291"/>
      <c r="M4920" s="291"/>
      <c r="N4920" s="291"/>
      <c r="S4920" s="364"/>
      <c r="Z4920" s="609" t="s">
        <v>4148</v>
      </c>
      <c r="AA4920" s="609" t="s">
        <v>5717</v>
      </c>
    </row>
    <row r="4921" spans="1:29" ht="17">
      <c r="A4921" s="2714"/>
      <c r="B4921" s="371">
        <v>106</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5717</v>
      </c>
    </row>
    <row r="4922" spans="1:29" ht="17">
      <c r="A4922" s="2714"/>
      <c r="B4922" s="371">
        <v>107</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5717</v>
      </c>
    </row>
    <row r="4923" spans="1:29" ht="17">
      <c r="A4923" s="2714"/>
      <c r="B4923" s="371">
        <v>109</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5717</v>
      </c>
    </row>
    <row r="4924" spans="1:29" ht="17.5" thickBot="1">
      <c r="A4924" s="2714"/>
      <c r="B4924" s="371"/>
      <c r="C4924" s="371"/>
      <c r="D4924" s="2716">
        <f t="shared" si="535"/>
        <v>1</v>
      </c>
      <c r="E4924" s="2721"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5717</v>
      </c>
    </row>
    <row r="4925" spans="1:29" ht="17">
      <c r="A4925" s="2714"/>
      <c r="B4925" s="371"/>
      <c r="C4925" s="371" t="s">
        <v>2755</v>
      </c>
      <c r="D4925" s="371"/>
      <c r="F4925" s="294"/>
      <c r="G4925" s="301"/>
      <c r="H4925" s="315"/>
      <c r="I4925" s="315"/>
      <c r="J4925" s="315"/>
      <c r="K4925" s="291"/>
      <c r="L4925" s="291"/>
      <c r="M4925" s="291"/>
      <c r="N4925" s="291"/>
      <c r="S4925" s="364"/>
      <c r="Z4925" s="609" t="s">
        <v>4148</v>
      </c>
      <c r="AA4925" s="609" t="s">
        <v>5717</v>
      </c>
    </row>
    <row r="4926" spans="1:29" ht="26">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5717</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5717</v>
      </c>
    </row>
    <row r="4928" spans="1:29" ht="26">
      <c r="A4928" s="2714"/>
      <c r="B4928" s="371"/>
      <c r="C4928" s="371"/>
      <c r="D4928" s="371"/>
      <c r="E4928" s="586" t="s">
        <v>2749</v>
      </c>
      <c r="F4928" s="363"/>
      <c r="G4928" s="2457" t="s">
        <v>1628</v>
      </c>
      <c r="H4928" s="2464" t="str">
        <f>$V$4</f>
        <v>2019年度</v>
      </c>
      <c r="I4928" s="2464" t="str">
        <f>$V$5</f>
        <v>2018年度</v>
      </c>
      <c r="J4928" s="2469" t="s">
        <v>5238</v>
      </c>
      <c r="K4928" s="355" t="s">
        <v>5340</v>
      </c>
      <c r="L4928" s="442"/>
      <c r="M4928" s="442"/>
      <c r="N4928" s="442"/>
      <c r="O4928" s="442"/>
      <c r="P4928" s="442"/>
      <c r="Q4928" s="442"/>
      <c r="R4928" s="443"/>
      <c r="S4928" s="364"/>
      <c r="Z4928" s="609" t="s">
        <v>4148</v>
      </c>
      <c r="AA4928" s="609" t="s">
        <v>5717</v>
      </c>
    </row>
    <row r="4929" spans="1:27" ht="17">
      <c r="A4929" s="2714"/>
      <c r="B4929" s="371">
        <v>101</v>
      </c>
      <c r="C4929" s="371" t="s">
        <v>2791</v>
      </c>
      <c r="D4929" s="2716">
        <f t="shared" ref="D4929:D4934" si="536">IF(OR(G4929="*",G4929="",G4929=0),0,COUNTIF($G$4929:$G$4934,G4929))</f>
        <v>0</v>
      </c>
      <c r="E4929" s="2721">
        <v>1</v>
      </c>
      <c r="F4929" s="294"/>
      <c r="G4929" s="2467" t="s">
        <v>2792</v>
      </c>
      <c r="H4929" s="2275"/>
      <c r="I4929" s="2275"/>
      <c r="J4929" s="2276"/>
      <c r="K4929" s="2672" t="s">
        <v>6363</v>
      </c>
      <c r="L4929" s="2673" t="s">
        <v>6364</v>
      </c>
      <c r="M4929" s="442"/>
      <c r="N4929" s="442"/>
      <c r="O4929" s="442"/>
      <c r="P4929" s="442"/>
      <c r="Q4929" s="442"/>
      <c r="R4929" s="443"/>
      <c r="S4929" s="364"/>
      <c r="Z4929" s="609" t="s">
        <v>4148</v>
      </c>
      <c r="AA4929" s="609" t="s">
        <v>5717</v>
      </c>
    </row>
    <row r="4930" spans="1:27" ht="17">
      <c r="A4930" s="2714"/>
      <c r="B4930" s="371">
        <v>102</v>
      </c>
      <c r="C4930" s="371" t="s">
        <v>2791</v>
      </c>
      <c r="D4930" s="2716">
        <f t="shared" si="536"/>
        <v>0</v>
      </c>
      <c r="E4930" s="2721">
        <v>1</v>
      </c>
      <c r="F4930" s="294"/>
      <c r="G4930" s="2467" t="s">
        <v>2792</v>
      </c>
      <c r="H4930" s="2275"/>
      <c r="I4930" s="2275"/>
      <c r="J4930" s="2276"/>
      <c r="K4930" s="1604"/>
      <c r="L4930" s="2673" t="s">
        <v>6365</v>
      </c>
      <c r="M4930" s="442"/>
      <c r="N4930" s="442"/>
      <c r="O4930" s="442"/>
      <c r="P4930" s="442"/>
      <c r="Q4930" s="442"/>
      <c r="R4930" s="443"/>
      <c r="S4930" s="364"/>
      <c r="Z4930" s="609" t="s">
        <v>4148</v>
      </c>
      <c r="AA4930" s="609" t="s">
        <v>5717</v>
      </c>
    </row>
    <row r="4931" spans="1:27" ht="17">
      <c r="A4931" s="2714"/>
      <c r="B4931" s="371">
        <v>103</v>
      </c>
      <c r="C4931" s="371" t="s">
        <v>2791</v>
      </c>
      <c r="D4931" s="2716">
        <f t="shared" si="536"/>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5717</v>
      </c>
    </row>
    <row r="4932" spans="1:27" ht="17">
      <c r="A4932" s="2714"/>
      <c r="B4932" s="371">
        <v>104</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5717</v>
      </c>
    </row>
    <row r="4933" spans="1:27" ht="17">
      <c r="A4933" s="2714"/>
      <c r="B4933" s="371">
        <v>105</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5717</v>
      </c>
    </row>
    <row r="4934" spans="1:27" ht="17.5" thickBot="1">
      <c r="A4934" s="2714"/>
      <c r="B4934" s="371"/>
      <c r="C4934" s="371"/>
      <c r="D4934" s="2716">
        <f t="shared" si="536"/>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5717</v>
      </c>
    </row>
    <row r="4935" spans="1:27" ht="1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5717</v>
      </c>
    </row>
    <row r="4936" spans="1:27" ht="1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5717</v>
      </c>
    </row>
    <row r="4937" spans="1:27" ht="26">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5717</v>
      </c>
    </row>
    <row r="4938" spans="1:27" ht="17">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5717</v>
      </c>
    </row>
    <row r="4939" spans="1:27" ht="1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5717</v>
      </c>
    </row>
    <row r="4940" spans="1:27" ht="1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5717</v>
      </c>
    </row>
    <row r="4941" spans="1:27" ht="17">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5717</v>
      </c>
    </row>
    <row r="4942" spans="1:27" ht="17">
      <c r="A4942" s="2714"/>
      <c r="B4942" s="371"/>
      <c r="C4942" s="371" t="s">
        <v>2565</v>
      </c>
      <c r="D4942" s="371"/>
      <c r="F4942" s="294"/>
      <c r="G4942" s="354"/>
      <c r="H4942" s="461"/>
      <c r="I4942" s="461"/>
      <c r="J4942" s="317"/>
      <c r="K4942" s="317"/>
      <c r="L4942" s="350"/>
      <c r="M4942" s="350"/>
      <c r="N4942" s="350"/>
      <c r="S4942" s="364"/>
      <c r="Z4942" s="609" t="s">
        <v>4148</v>
      </c>
      <c r="AA4942" s="609" t="s">
        <v>5717</v>
      </c>
    </row>
    <row r="4943" spans="1:27" ht="17">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5718</v>
      </c>
    </row>
    <row r="4944" spans="1:27" ht="17">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0</v>
      </c>
      <c r="L4944" s="345" t="str">
        <f>IF($I4944="适用",IF(ROUND(K4943-K4944,2)=0,"F/S",ROUND(K4943-K4944,2)),"#N/A")</f>
        <v>F/S</v>
      </c>
      <c r="M4944" s="301" t="s">
        <v>4211</v>
      </c>
      <c r="N4944" s="2210">
        <f>I4954</f>
        <v>0</v>
      </c>
      <c r="O4944" s="345" t="str">
        <f>IF($I4944="适用",IF(ROUND(N4943-N4944,2)=0,"F/S",ROUND(N4943-N4944,2)),"#N/A")</f>
        <v>F/S</v>
      </c>
      <c r="P4944" s="301"/>
      <c r="Q4944" s="290" t="str">
        <f>IF($I4944="不适用","",IF(ROUND(SUM($H$4947:$J$4954),2)=0,"请输入",""))</f>
        <v>请输入</v>
      </c>
      <c r="S4944" s="364"/>
      <c r="Z4944" s="609" t="s">
        <v>4353</v>
      </c>
      <c r="AA4944" s="609" t="s">
        <v>5718</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5718</v>
      </c>
    </row>
    <row r="4946" spans="1:27" ht="39">
      <c r="A4946" s="2714"/>
      <c r="B4946" s="371"/>
      <c r="C4946" s="371"/>
      <c r="D4946" s="371"/>
      <c r="E4946" s="586" t="s">
        <v>2749</v>
      </c>
      <c r="F4946" s="363"/>
      <c r="G4946" s="2457" t="s">
        <v>47</v>
      </c>
      <c r="H4946" s="2464" t="str">
        <f>$V$4</f>
        <v>2019年度</v>
      </c>
      <c r="I4946" s="2464" t="str">
        <f>$V$5</f>
        <v>2018年度</v>
      </c>
      <c r="J4946" s="2469" t="s">
        <v>4348</v>
      </c>
      <c r="K4946" s="355" t="s">
        <v>5341</v>
      </c>
      <c r="L4946" s="291"/>
      <c r="M4946" s="291"/>
      <c r="N4946" s="291"/>
      <c r="S4946" s="364"/>
      <c r="Z4946" s="609" t="s">
        <v>4353</v>
      </c>
      <c r="AA4946" s="609" t="s">
        <v>5718</v>
      </c>
    </row>
    <row r="4947" spans="1:27" ht="17">
      <c r="A4947" s="2714"/>
      <c r="B4947" s="371">
        <v>101</v>
      </c>
      <c r="C4947" s="371"/>
      <c r="D4947" s="2716">
        <f t="shared" ref="D4947:D4954" si="537">IF(OR(G4947="*",G4947="",G4947=0),0,COUNTIF($G$4947:$G$4954,G4947))</f>
        <v>1</v>
      </c>
      <c r="E4947" s="2721">
        <v>1</v>
      </c>
      <c r="F4947" s="294"/>
      <c r="G4947" s="1474" t="s">
        <v>4355</v>
      </c>
      <c r="H4947" s="2275"/>
      <c r="I4947" s="2275"/>
      <c r="J4947" s="2296"/>
      <c r="K4947" s="291"/>
      <c r="L4947" s="291"/>
      <c r="M4947" s="291"/>
      <c r="N4947" s="291"/>
      <c r="S4947" s="364"/>
      <c r="Z4947" s="609" t="s">
        <v>4353</v>
      </c>
      <c r="AA4947" s="609" t="s">
        <v>5718</v>
      </c>
    </row>
    <row r="4948" spans="1:27" ht="17">
      <c r="A4948" s="2714"/>
      <c r="B4948" s="371">
        <v>102</v>
      </c>
      <c r="C4948" s="371"/>
      <c r="D4948" s="2716">
        <f t="shared" si="537"/>
        <v>1</v>
      </c>
      <c r="E4948" s="2721">
        <v>1</v>
      </c>
      <c r="F4948" s="294"/>
      <c r="G4948" s="1474" t="s">
        <v>4356</v>
      </c>
      <c r="H4948" s="2275"/>
      <c r="I4948" s="2275"/>
      <c r="J4948" s="2296"/>
      <c r="K4948" s="291"/>
      <c r="L4948" s="291"/>
      <c r="M4948" s="291"/>
      <c r="N4948" s="291"/>
      <c r="S4948" s="364"/>
      <c r="Z4948" s="609" t="s">
        <v>4353</v>
      </c>
      <c r="AA4948" s="609" t="s">
        <v>5718</v>
      </c>
    </row>
    <row r="4949" spans="1:27" ht="17">
      <c r="A4949" s="2714"/>
      <c r="B4949" s="371">
        <v>106</v>
      </c>
      <c r="C4949" s="371"/>
      <c r="D4949" s="2716">
        <f t="shared" si="537"/>
        <v>1</v>
      </c>
      <c r="E4949" s="2721">
        <v>1</v>
      </c>
      <c r="F4949" s="294"/>
      <c r="G4949" s="1474" t="s">
        <v>4357</v>
      </c>
      <c r="H4949" s="2275"/>
      <c r="I4949" s="2275"/>
      <c r="J4949" s="2296"/>
      <c r="K4949" s="291"/>
      <c r="L4949" s="291"/>
      <c r="M4949" s="291"/>
      <c r="N4949" s="291"/>
      <c r="S4949" s="364"/>
      <c r="Z4949" s="609" t="s">
        <v>4353</v>
      </c>
      <c r="AA4949" s="609" t="s">
        <v>5718</v>
      </c>
    </row>
    <row r="4950" spans="1:27" ht="17">
      <c r="A4950" s="2714"/>
      <c r="B4950" s="371">
        <v>107</v>
      </c>
      <c r="C4950" s="371"/>
      <c r="D4950" s="2716">
        <f t="shared" si="537"/>
        <v>1</v>
      </c>
      <c r="E4950" s="2721">
        <v>1</v>
      </c>
      <c r="F4950" s="294"/>
      <c r="G4950" s="1474" t="s">
        <v>4358</v>
      </c>
      <c r="H4950" s="2275"/>
      <c r="I4950" s="2275"/>
      <c r="J4950" s="2296"/>
      <c r="K4950" s="291"/>
      <c r="L4950" s="291"/>
      <c r="M4950" s="291"/>
      <c r="N4950" s="291"/>
      <c r="S4950" s="364"/>
      <c r="Z4950" s="609" t="s">
        <v>4353</v>
      </c>
      <c r="AA4950" s="609" t="s">
        <v>5718</v>
      </c>
    </row>
    <row r="4951" spans="1:27" ht="17">
      <c r="A4951" s="2714"/>
      <c r="B4951" s="371">
        <v>108</v>
      </c>
      <c r="C4951" s="371" t="s">
        <v>2791</v>
      </c>
      <c r="D4951" s="2716">
        <f t="shared" si="537"/>
        <v>0</v>
      </c>
      <c r="E4951" s="2721">
        <v>1</v>
      </c>
      <c r="F4951" s="294"/>
      <c r="G4951" s="2467" t="s">
        <v>2792</v>
      </c>
      <c r="H4951" s="2275"/>
      <c r="I4951" s="2275"/>
      <c r="J4951" s="2296"/>
      <c r="K4951" s="291"/>
      <c r="L4951" s="291"/>
      <c r="M4951" s="291"/>
      <c r="N4951" s="291"/>
      <c r="S4951" s="364"/>
      <c r="Z4951" s="609" t="s">
        <v>4353</v>
      </c>
      <c r="AA4951" s="609" t="s">
        <v>5718</v>
      </c>
    </row>
    <row r="4952" spans="1:27" ht="17">
      <c r="A4952" s="2714"/>
      <c r="B4952" s="371">
        <v>109</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5718</v>
      </c>
    </row>
    <row r="4953" spans="1:27" ht="17">
      <c r="A4953" s="2714"/>
      <c r="B4953" s="371">
        <v>110</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5718</v>
      </c>
    </row>
    <row r="4954" spans="1:27" ht="17.5" thickBot="1">
      <c r="A4954" s="2714"/>
      <c r="B4954" s="371"/>
      <c r="C4954" s="371"/>
      <c r="D4954" s="2716">
        <f t="shared" si="537"/>
        <v>1</v>
      </c>
      <c r="E4954" s="2721" t="s">
        <v>2751</v>
      </c>
      <c r="F4954" s="294"/>
      <c r="G4954" s="374" t="s">
        <v>2752</v>
      </c>
      <c r="H4954" s="1478">
        <f>SUMPRODUCT($E4946:$E4953,H4946:H4953)</f>
        <v>0</v>
      </c>
      <c r="I4954" s="1478">
        <f>SUMPRODUCT($E4946:$E4953,I4946:I4953)</f>
        <v>0</v>
      </c>
      <c r="J4954" s="1479">
        <f>SUMPRODUCT($E4946:$E4953,J4946:J4953)</f>
        <v>0</v>
      </c>
      <c r="K4954" s="291"/>
      <c r="L4954" s="291"/>
      <c r="M4954" s="291"/>
      <c r="N4954" s="291"/>
      <c r="S4954" s="364"/>
      <c r="Z4954" s="609" t="s">
        <v>4353</v>
      </c>
      <c r="AA4954" s="609" t="s">
        <v>5718</v>
      </c>
    </row>
    <row r="4955" spans="1:27" ht="17">
      <c r="A4955" s="2714"/>
      <c r="B4955" s="371"/>
      <c r="C4955" s="371" t="s">
        <v>2755</v>
      </c>
      <c r="D4955" s="371"/>
      <c r="F4955" s="294"/>
      <c r="G4955" s="301"/>
      <c r="H4955" s="315"/>
      <c r="I4955" s="315"/>
      <c r="J4955" s="315"/>
      <c r="K4955" s="291"/>
      <c r="L4955" s="291"/>
      <c r="M4955" s="291"/>
      <c r="N4955" s="291"/>
      <c r="S4955" s="364"/>
      <c r="Z4955" s="609" t="s">
        <v>4353</v>
      </c>
      <c r="AA4955" s="609" t="s">
        <v>5718</v>
      </c>
    </row>
    <row r="4956" spans="1:27" ht="17">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5719</v>
      </c>
    </row>
    <row r="4957" spans="1:27" ht="17">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0</v>
      </c>
      <c r="L4957" s="345" t="str">
        <f>IF($I4957="适用",IF(ROUND(K$4956-K4957,2)=0,"F/S",ROUND(K$4956-K4957,2)),"#N/A")</f>
        <v>F/S</v>
      </c>
      <c r="M4957" s="301" t="s">
        <v>4211</v>
      </c>
      <c r="N4957" s="2210">
        <f>I4963</f>
        <v>0</v>
      </c>
      <c r="O4957" s="345" t="str">
        <f>IF($I4957="适用",IF(ROUND(N$4956-N4957,2)=0,"F/S",ROUND(N$4956-N4957,2)),"#N/A")</f>
        <v>F/S</v>
      </c>
      <c r="P4957" s="301"/>
      <c r="Q4957" s="290" t="str">
        <f>IF($I4957="不适用","",IF(ROUND(SUM($H$4960:$I$4963),2)=0,"请输入",""))</f>
        <v>请输入</v>
      </c>
      <c r="S4957" s="364"/>
      <c r="Z4957" s="609" t="s">
        <v>4359</v>
      </c>
      <c r="AA4957" s="609" t="s">
        <v>5719</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5719</v>
      </c>
    </row>
    <row r="4959" spans="1:27" ht="17.5" thickTop="1">
      <c r="A4959" s="2714"/>
      <c r="B4959" s="371"/>
      <c r="C4959" s="371"/>
      <c r="D4959" s="371"/>
      <c r="E4959" s="2716" t="s">
        <v>2749</v>
      </c>
      <c r="F4959" s="294"/>
      <c r="G4959" s="378" t="s">
        <v>47</v>
      </c>
      <c r="H4959" s="398" t="str">
        <f>$V$4</f>
        <v>2019年度</v>
      </c>
      <c r="I4959" s="511" t="str">
        <f>$V$5</f>
        <v>2018年度</v>
      </c>
      <c r="J4959" s="355" t="s">
        <v>5342</v>
      </c>
      <c r="K4959" s="1584" t="str">
        <f>""&amp;"&gt;本期:"&amp;""</f>
        <v>&gt;本期:</v>
      </c>
      <c r="L4959" s="1584"/>
      <c r="M4959" s="2658" t="str">
        <f>""&amp;"NoteID"&amp;""</f>
        <v>NoteID</v>
      </c>
      <c r="S4959" s="364"/>
      <c r="Z4959" s="609" t="s">
        <v>4359</v>
      </c>
      <c r="AA4959" s="609" t="s">
        <v>5719</v>
      </c>
    </row>
    <row r="4960" spans="1:27" ht="17">
      <c r="A4960" s="2714"/>
      <c r="B4960" s="371">
        <v>101</v>
      </c>
      <c r="C4960" s="371"/>
      <c r="D4960" s="2716">
        <f>IF(OR(G4960="*",G4960="",G4960=0),0,COUNTIF($G$4960:$G$4963,G4960))</f>
        <v>1</v>
      </c>
      <c r="E4960" s="2721">
        <v>1</v>
      </c>
      <c r="F4960" s="294"/>
      <c r="G4960" s="380" t="s">
        <v>4361</v>
      </c>
      <c r="H4960" s="383"/>
      <c r="I4960" s="401"/>
      <c r="J4960" s="291"/>
      <c r="K4960" s="2252">
        <f ca="1">HYPERLINK("#'"&amp;$G$1&amp;"'!"&amp;ADDRESS(ROW(Notes!J3732),COLUMN(Notes!J3732),4),J3732)</f>
        <v>0</v>
      </c>
      <c r="L4960" s="456"/>
      <c r="M4960" s="2665" t="str">
        <f>H3727</f>
        <v>2221a</v>
      </c>
      <c r="S4960" s="364"/>
      <c r="Z4960" s="609" t="s">
        <v>4359</v>
      </c>
      <c r="AA4960" s="609" t="s">
        <v>5719</v>
      </c>
    </row>
    <row r="4961" spans="1:27" ht="17">
      <c r="A4961" s="2714"/>
      <c r="B4961" s="371">
        <v>102</v>
      </c>
      <c r="C4961" s="371"/>
      <c r="D4961" s="2716">
        <f>IF(OR(G4961="*",G4961="",G4961=0),0,COUNTIF($G$4960:$G$4963,G4961))</f>
        <v>1</v>
      </c>
      <c r="E4961" s="2721">
        <v>1</v>
      </c>
      <c r="F4961" s="294"/>
      <c r="G4961" s="380" t="s">
        <v>4362</v>
      </c>
      <c r="H4961" s="383"/>
      <c r="I4961" s="401"/>
      <c r="J4961" s="291"/>
      <c r="K4961" s="456"/>
      <c r="L4961" s="456"/>
      <c r="M4961" s="2666"/>
      <c r="S4961" s="364"/>
      <c r="Z4961" s="609" t="s">
        <v>4359</v>
      </c>
      <c r="AA4961" s="609" t="s">
        <v>5719</v>
      </c>
    </row>
    <row r="4962" spans="1:27" ht="17">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5719</v>
      </c>
    </row>
    <row r="4963" spans="1:27" ht="17.5" thickBot="1">
      <c r="A4963" s="2714"/>
      <c r="B4963" s="371"/>
      <c r="C4963" s="371"/>
      <c r="D4963" s="2716">
        <f>IF(OR(G4963="*",G4963="",G4963=0),0,COUNTIF($G$4960:$G$4963,G4963))</f>
        <v>1</v>
      </c>
      <c r="E4963" s="2721" t="s">
        <v>2751</v>
      </c>
      <c r="F4963" s="294"/>
      <c r="G4963" s="403" t="s">
        <v>2752</v>
      </c>
      <c r="H4963" s="503">
        <f>SUMPRODUCT($E4959:$E4962,H4959:H4962)</f>
        <v>0</v>
      </c>
      <c r="I4963" s="515">
        <f>SUMPRODUCT($E4959:$E4962,I4959:I4962)</f>
        <v>0</v>
      </c>
      <c r="J4963" s="291"/>
      <c r="K4963" s="1531">
        <f t="shared" ref="K4963:L4963" ca="1" si="538">SUM(K4960:K4962)</f>
        <v>0</v>
      </c>
      <c r="L4963" s="1531">
        <f t="shared" si="538"/>
        <v>0</v>
      </c>
      <c r="M4963" s="2667"/>
      <c r="S4963" s="364"/>
      <c r="Z4963" s="609" t="s">
        <v>4359</v>
      </c>
      <c r="AA4963" s="609" t="s">
        <v>5719</v>
      </c>
    </row>
    <row r="4964" spans="1:27" ht="17">
      <c r="A4964" s="2714"/>
      <c r="B4964" s="371"/>
      <c r="C4964" s="371" t="s">
        <v>2755</v>
      </c>
      <c r="D4964" s="371"/>
      <c r="F4964" s="294"/>
      <c r="G4964" s="301"/>
      <c r="H4964" s="349"/>
      <c r="I4964" s="349"/>
      <c r="J4964" s="291"/>
      <c r="K4964" s="1539" t="s">
        <v>5506</v>
      </c>
      <c r="L4964" s="354"/>
      <c r="M4964" s="354"/>
      <c r="S4964" s="364"/>
      <c r="Z4964" s="609" t="s">
        <v>4359</v>
      </c>
      <c r="AA4964" s="609" t="s">
        <v>5719</v>
      </c>
    </row>
    <row r="4965" spans="1:27" ht="26">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0</v>
      </c>
      <c r="L4965" s="345" t="str">
        <f>IF($I4965="适用",IF(ROUND(K$4956-K4965,2)=0,"F/S",ROUND(K$4956-K4965,2)),"#N/A")</f>
        <v>F/S</v>
      </c>
      <c r="M4965" s="301" t="s">
        <v>4211</v>
      </c>
      <c r="N4965" s="2210">
        <f>I4981</f>
        <v>0</v>
      </c>
      <c r="O4965" s="345" t="str">
        <f>IF($I4965="适用",IF(ROUND(N$4956-N4965,2)=0,"F/S",ROUND(N$4956-N4965,2)),"#N/A")</f>
        <v>F/S</v>
      </c>
      <c r="P4965" s="301"/>
      <c r="Q4965" s="290" t="str">
        <f>IF($I4965="不适用","",IF(ROUND(SUM($H$4968:$I$4981),2)=0,"请输入",""))</f>
        <v/>
      </c>
      <c r="S4965" s="364"/>
      <c r="Z4965" s="609" t="s">
        <v>4359</v>
      </c>
      <c r="AA4965" s="609" t="s">
        <v>5719</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5719</v>
      </c>
    </row>
    <row r="4967" spans="1:27" ht="17">
      <c r="A4967" s="2714"/>
      <c r="B4967" s="371"/>
      <c r="C4967" s="371"/>
      <c r="D4967" s="371"/>
      <c r="E4967" s="586" t="s">
        <v>2749</v>
      </c>
      <c r="F4967" s="363"/>
      <c r="G4967" s="2556" t="s">
        <v>47</v>
      </c>
      <c r="H4967" s="2555" t="str">
        <f>$V$4</f>
        <v>2019年度</v>
      </c>
      <c r="I4967" s="2611" t="str">
        <f>$V$5</f>
        <v>2018年度</v>
      </c>
      <c r="J4967" s="355" t="s">
        <v>5342</v>
      </c>
      <c r="K4967" s="291"/>
      <c r="L4967" s="291"/>
      <c r="M4967" s="291"/>
      <c r="S4967" s="364"/>
      <c r="Z4967" s="609" t="s">
        <v>4359</v>
      </c>
      <c r="AA4967" s="609" t="s">
        <v>5719</v>
      </c>
    </row>
    <row r="4968" spans="1:27" ht="17">
      <c r="A4968" s="2714"/>
      <c r="B4968" s="371">
        <v>101</v>
      </c>
      <c r="C4968" s="371"/>
      <c r="D4968" s="2716">
        <f t="shared" ref="D4968:D4981" si="539">IF(OR(G4968="*",G4968="",G4968=0),0,COUNTIF($G$4968:$G$4981,G4968))</f>
        <v>1</v>
      </c>
      <c r="E4968" s="2721">
        <v>0</v>
      </c>
      <c r="F4968" s="294"/>
      <c r="G4968" s="1474" t="s">
        <v>861</v>
      </c>
      <c r="H4968" s="2275">
        <f>IS!E28</f>
        <v>-2324.91</v>
      </c>
      <c r="I4968" s="2296">
        <f>IS!F28</f>
        <v>-1714.32</v>
      </c>
      <c r="J4968" s="291"/>
      <c r="K4968" s="291"/>
      <c r="L4968" s="291"/>
      <c r="M4968" s="291"/>
      <c r="S4968" s="364"/>
      <c r="Z4968" s="609" t="s">
        <v>4359</v>
      </c>
      <c r="AA4968" s="609" t="s">
        <v>5719</v>
      </c>
    </row>
    <row r="4969" spans="1:27" ht="26">
      <c r="A4969" s="2714"/>
      <c r="B4969" s="371">
        <v>102</v>
      </c>
      <c r="C4969" s="371"/>
      <c r="D4969" s="2716">
        <f t="shared" si="539"/>
        <v>1</v>
      </c>
      <c r="E4969" s="2721">
        <v>1</v>
      </c>
      <c r="F4969" s="294"/>
      <c r="G4969" s="1474" t="s">
        <v>6148</v>
      </c>
      <c r="H4969" s="2275">
        <f>H4968*0.25</f>
        <v>-581.23</v>
      </c>
      <c r="I4969" s="2296">
        <f>I4968*0.25</f>
        <v>-428.58</v>
      </c>
      <c r="J4969" s="291"/>
      <c r="K4969" s="291"/>
      <c r="L4969" s="291"/>
      <c r="M4969" s="291"/>
      <c r="S4969" s="364"/>
      <c r="Z4969" s="609" t="s">
        <v>4359</v>
      </c>
      <c r="AA4969" s="609" t="s">
        <v>5719</v>
      </c>
    </row>
    <row r="4970" spans="1:27" ht="17">
      <c r="A4970" s="2714"/>
      <c r="B4970" s="371">
        <v>103</v>
      </c>
      <c r="C4970" s="371"/>
      <c r="D4970" s="2716">
        <f t="shared" si="539"/>
        <v>1</v>
      </c>
      <c r="E4970" s="2721">
        <v>1</v>
      </c>
      <c r="F4970" s="294"/>
      <c r="G4970" s="1474" t="s">
        <v>4364</v>
      </c>
      <c r="H4970" s="2275"/>
      <c r="I4970" s="2296"/>
      <c r="J4970" s="291"/>
      <c r="K4970" s="291"/>
      <c r="L4970" s="291"/>
      <c r="M4970" s="291"/>
      <c r="S4970" s="364"/>
      <c r="Z4970" s="609" t="s">
        <v>4359</v>
      </c>
      <c r="AA4970" s="609" t="s">
        <v>5719</v>
      </c>
    </row>
    <row r="4971" spans="1:27" ht="17">
      <c r="A4971" s="2714"/>
      <c r="B4971" s="371">
        <v>104</v>
      </c>
      <c r="C4971" s="371"/>
      <c r="D4971" s="2716">
        <f t="shared" si="539"/>
        <v>1</v>
      </c>
      <c r="E4971" s="2721">
        <v>1</v>
      </c>
      <c r="F4971" s="294"/>
      <c r="G4971" s="1474" t="s">
        <v>4365</v>
      </c>
      <c r="H4971" s="2275"/>
      <c r="I4971" s="2296"/>
      <c r="J4971" s="291"/>
      <c r="K4971" s="291"/>
      <c r="L4971" s="291"/>
      <c r="M4971" s="291"/>
      <c r="S4971" s="364"/>
      <c r="Z4971" s="609" t="s">
        <v>4359</v>
      </c>
      <c r="AA4971" s="609" t="s">
        <v>5719</v>
      </c>
    </row>
    <row r="4972" spans="1:27" ht="17">
      <c r="A4972" s="2714"/>
      <c r="B4972" s="371">
        <v>105</v>
      </c>
      <c r="C4972" s="371"/>
      <c r="D4972" s="2716">
        <f t="shared" si="539"/>
        <v>1</v>
      </c>
      <c r="E4972" s="2721">
        <v>1</v>
      </c>
      <c r="F4972" s="294"/>
      <c r="G4972" s="1474" t="s">
        <v>4366</v>
      </c>
      <c r="H4972" s="2275"/>
      <c r="I4972" s="2296"/>
      <c r="J4972" s="291"/>
      <c r="K4972" s="291"/>
      <c r="L4972" s="291"/>
      <c r="M4972" s="291"/>
      <c r="S4972" s="364"/>
      <c r="Z4972" s="609" t="s">
        <v>4359</v>
      </c>
      <c r="AA4972" s="609" t="s">
        <v>5719</v>
      </c>
    </row>
    <row r="4973" spans="1:27" ht="26">
      <c r="A4973" s="2714"/>
      <c r="B4973" s="371">
        <v>106</v>
      </c>
      <c r="C4973" s="371"/>
      <c r="D4973" s="2716">
        <f t="shared" si="539"/>
        <v>1</v>
      </c>
      <c r="E4973" s="2721">
        <v>1</v>
      </c>
      <c r="F4973" s="294"/>
      <c r="G4973" s="1474" t="s">
        <v>4367</v>
      </c>
      <c r="H4973" s="2275"/>
      <c r="I4973" s="2296"/>
      <c r="J4973" s="291"/>
      <c r="K4973" s="291"/>
      <c r="L4973" s="291"/>
      <c r="M4973" s="291"/>
      <c r="S4973" s="364"/>
      <c r="Z4973" s="609" t="s">
        <v>4359</v>
      </c>
      <c r="AA4973" s="609" t="s">
        <v>5719</v>
      </c>
    </row>
    <row r="4974" spans="1:27" ht="26">
      <c r="A4974" s="2714"/>
      <c r="B4974" s="371">
        <v>107</v>
      </c>
      <c r="C4974" s="371"/>
      <c r="D4974" s="2716">
        <f t="shared" si="539"/>
        <v>1</v>
      </c>
      <c r="E4974" s="2721">
        <v>1</v>
      </c>
      <c r="F4974" s="294"/>
      <c r="G4974" s="1474" t="s">
        <v>4368</v>
      </c>
      <c r="H4974" s="2275"/>
      <c r="I4974" s="2296"/>
      <c r="J4974" s="291"/>
      <c r="K4974" s="291"/>
      <c r="L4974" s="291"/>
      <c r="M4974" s="291"/>
      <c r="S4974" s="364"/>
      <c r="Z4974" s="609" t="s">
        <v>4359</v>
      </c>
      <c r="AA4974" s="609" t="s">
        <v>5719</v>
      </c>
    </row>
    <row r="4975" spans="1:27" ht="39">
      <c r="A4975" s="2714"/>
      <c r="B4975" s="371">
        <v>108</v>
      </c>
      <c r="C4975" s="371"/>
      <c r="D4975" s="2716">
        <f t="shared" si="539"/>
        <v>1</v>
      </c>
      <c r="E4975" s="2721">
        <v>1</v>
      </c>
      <c r="F4975" s="294"/>
      <c r="G4975" s="1474" t="s">
        <v>4369</v>
      </c>
      <c r="H4975" s="2275">
        <f>-H4969</f>
        <v>581.23</v>
      </c>
      <c r="I4975" s="2296">
        <f>-I4969</f>
        <v>428.58</v>
      </c>
      <c r="J4975" s="291"/>
      <c r="K4975" s="291"/>
      <c r="L4975" s="291"/>
      <c r="M4975" s="291"/>
      <c r="S4975" s="364"/>
      <c r="Z4975" s="609" t="s">
        <v>4359</v>
      </c>
      <c r="AA4975" s="609" t="s">
        <v>5719</v>
      </c>
    </row>
    <row r="4976" spans="1:27" ht="17">
      <c r="A4976" s="2714"/>
      <c r="B4976" s="371">
        <v>109</v>
      </c>
      <c r="C4976" s="371"/>
      <c r="D4976" s="2716">
        <f t="shared" si="539"/>
        <v>1</v>
      </c>
      <c r="E4976" s="2721">
        <v>1</v>
      </c>
      <c r="F4976" s="294"/>
      <c r="G4976" s="1474" t="s">
        <v>4370</v>
      </c>
      <c r="H4976" s="2275"/>
      <c r="I4976" s="2296"/>
      <c r="J4976" s="291"/>
      <c r="K4976" s="291"/>
      <c r="L4976" s="291"/>
      <c r="M4976" s="291"/>
      <c r="S4976" s="364"/>
      <c r="Z4976" s="609" t="s">
        <v>4359</v>
      </c>
      <c r="AA4976" s="609" t="s">
        <v>5719</v>
      </c>
    </row>
    <row r="4977" spans="1:27" ht="17">
      <c r="A4977" s="2714"/>
      <c r="B4977" s="371">
        <v>110</v>
      </c>
      <c r="C4977" s="371" t="s">
        <v>2791</v>
      </c>
      <c r="D4977" s="2716">
        <f t="shared" si="539"/>
        <v>0</v>
      </c>
      <c r="E4977" s="2721">
        <v>1</v>
      </c>
      <c r="F4977" s="294"/>
      <c r="G4977" s="2568" t="s">
        <v>2792</v>
      </c>
      <c r="H4977" s="2275"/>
      <c r="I4977" s="2296"/>
      <c r="J4977" s="291"/>
      <c r="K4977" s="291"/>
      <c r="L4977" s="291"/>
      <c r="M4977" s="291"/>
      <c r="S4977" s="364"/>
      <c r="Z4977" s="609" t="s">
        <v>4359</v>
      </c>
      <c r="AA4977" s="609" t="s">
        <v>5719</v>
      </c>
    </row>
    <row r="4978" spans="1:27" ht="17">
      <c r="A4978" s="2714"/>
      <c r="B4978" s="371">
        <v>111</v>
      </c>
      <c r="C4978" s="371" t="s">
        <v>2791</v>
      </c>
      <c r="D4978" s="2716">
        <f t="shared" si="539"/>
        <v>0</v>
      </c>
      <c r="E4978" s="2721">
        <v>1</v>
      </c>
      <c r="F4978" s="294"/>
      <c r="G4978" s="2568" t="s">
        <v>2792</v>
      </c>
      <c r="H4978" s="2275"/>
      <c r="I4978" s="2296"/>
      <c r="J4978" s="291"/>
      <c r="K4978" s="291"/>
      <c r="L4978" s="291"/>
      <c r="M4978" s="291"/>
      <c r="S4978" s="364"/>
      <c r="Z4978" s="609" t="s">
        <v>4359</v>
      </c>
      <c r="AA4978" s="609" t="s">
        <v>5719</v>
      </c>
    </row>
    <row r="4979" spans="1:27" ht="17">
      <c r="A4979" s="2714"/>
      <c r="B4979" s="371">
        <v>112</v>
      </c>
      <c r="C4979" s="371" t="s">
        <v>2791</v>
      </c>
      <c r="D4979" s="2716">
        <f t="shared" si="539"/>
        <v>0</v>
      </c>
      <c r="E4979" s="2721">
        <v>1</v>
      </c>
      <c r="F4979" s="294"/>
      <c r="G4979" s="2568" t="s">
        <v>2792</v>
      </c>
      <c r="H4979" s="2275"/>
      <c r="I4979" s="2296"/>
      <c r="J4979" s="291"/>
      <c r="K4979" s="291"/>
      <c r="L4979" s="291"/>
      <c r="M4979" s="291"/>
      <c r="S4979" s="364"/>
      <c r="Z4979" s="609" t="s">
        <v>4359</v>
      </c>
      <c r="AA4979" s="609" t="s">
        <v>5719</v>
      </c>
    </row>
    <row r="4980" spans="1:27" ht="17">
      <c r="A4980" s="2714"/>
      <c r="B4980" s="371">
        <v>113</v>
      </c>
      <c r="C4980" s="371" t="s">
        <v>2791</v>
      </c>
      <c r="D4980" s="2716">
        <f t="shared" si="539"/>
        <v>0</v>
      </c>
      <c r="E4980" s="2721">
        <v>1</v>
      </c>
      <c r="F4980" s="294"/>
      <c r="G4980" s="2568" t="s">
        <v>2792</v>
      </c>
      <c r="H4980" s="2275"/>
      <c r="I4980" s="2296"/>
      <c r="J4980" s="291"/>
      <c r="K4980" s="291"/>
      <c r="L4980" s="291"/>
      <c r="M4980" s="291"/>
      <c r="S4980" s="364"/>
      <c r="Z4980" s="609" t="s">
        <v>4359</v>
      </c>
      <c r="AA4980" s="609" t="s">
        <v>5719</v>
      </c>
    </row>
    <row r="4981" spans="1:27" ht="17.5" thickBot="1">
      <c r="A4981" s="2714"/>
      <c r="B4981" s="371"/>
      <c r="C4981" s="371"/>
      <c r="D4981" s="2716">
        <f t="shared" si="539"/>
        <v>1</v>
      </c>
      <c r="E4981" s="2721" t="s">
        <v>2751</v>
      </c>
      <c r="F4981" s="294"/>
      <c r="G4981" s="2234" t="s">
        <v>717</v>
      </c>
      <c r="H4981" s="2430">
        <f>SUMPRODUCT($E4967:$E4980,H4967:H4980)</f>
        <v>0</v>
      </c>
      <c r="I4981" s="2431">
        <f>SUMPRODUCT($E4967:$E4980,I4967:I4980)</f>
        <v>0</v>
      </c>
      <c r="J4981" s="355"/>
      <c r="K4981" s="291"/>
      <c r="L4981" s="291"/>
      <c r="M4981" s="291"/>
      <c r="S4981" s="364"/>
      <c r="Z4981" s="609" t="s">
        <v>4359</v>
      </c>
      <c r="AA4981" s="609" t="s">
        <v>5719</v>
      </c>
    </row>
    <row r="4982" spans="1:27" ht="17">
      <c r="A4982" s="2714"/>
      <c r="B4982" s="371"/>
      <c r="C4982" s="371" t="s">
        <v>2755</v>
      </c>
      <c r="D4982" s="371"/>
      <c r="F4982" s="294"/>
      <c r="G4982" s="301"/>
      <c r="H4982" s="315"/>
      <c r="I4982" s="315"/>
      <c r="J4982" s="291"/>
      <c r="K4982" s="291"/>
      <c r="L4982" s="291"/>
      <c r="M4982" s="291"/>
      <c r="S4982" s="364"/>
      <c r="Z4982" s="609" t="s">
        <v>4359</v>
      </c>
      <c r="AA4982" s="609" t="s">
        <v>5719</v>
      </c>
    </row>
    <row r="4983" spans="1:27" ht="17">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6">
      <c r="A4984" s="2714" t="s">
        <v>2193</v>
      </c>
      <c r="B4984" s="371">
        <v>1</v>
      </c>
      <c r="C4984" s="371"/>
      <c r="D4984" s="2716" t="str">
        <f>VLOOKUP($A4984,Sheet_NoteList,2,0)</f>
        <v>费用按性质分类的补充资料</v>
      </c>
      <c r="E4984" s="2716" t="s">
        <v>6532</v>
      </c>
      <c r="F4984" s="294"/>
      <c r="G4984" s="372" t="str">
        <f>"("&amp;B4984&amp;")"&amp;D4984</f>
        <v>(1)费用按性质分类的补充资料</v>
      </c>
      <c r="H4984" s="1517" t="str">
        <f>$A4984</f>
        <v>9690a</v>
      </c>
      <c r="I4984" s="343" t="s">
        <v>5124</v>
      </c>
      <c r="J4984" s="301" t="s">
        <v>5492</v>
      </c>
      <c r="K4984" s="2210">
        <f>H4996</f>
        <v>0</v>
      </c>
      <c r="L4984" s="345"/>
      <c r="M4984" s="301" t="s">
        <v>5493</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7">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7">
      <c r="A4987" s="2714"/>
      <c r="B4987" s="371">
        <v>101</v>
      </c>
      <c r="C4987" s="371"/>
      <c r="D4987" s="2716">
        <f t="shared" ref="D4987:D4996" si="540">IF(OR(G4987="*",G4987="",G4987=0),0,COUNTIF($G$4987:$G$4996,G4987))</f>
        <v>1</v>
      </c>
      <c r="E4987" s="2721">
        <v>1</v>
      </c>
      <c r="F4987" s="294"/>
      <c r="G4987" s="308" t="s">
        <v>4373</v>
      </c>
      <c r="H4987" s="309"/>
      <c r="I4987" s="346"/>
      <c r="J4987" s="579"/>
      <c r="K4987" s="291"/>
      <c r="L4987" s="291"/>
      <c r="M4987" s="291"/>
      <c r="S4987" s="364"/>
      <c r="Z4987" s="609" t="s">
        <v>2195</v>
      </c>
      <c r="AA4987" s="609"/>
    </row>
    <row r="4988" spans="1:27" ht="17">
      <c r="A4988" s="2714"/>
      <c r="B4988" s="371">
        <v>102</v>
      </c>
      <c r="C4988" s="371"/>
      <c r="D4988" s="2716">
        <f t="shared" si="540"/>
        <v>1</v>
      </c>
      <c r="E4988" s="2721">
        <v>1</v>
      </c>
      <c r="F4988" s="294"/>
      <c r="G4988" s="308" t="s">
        <v>4374</v>
      </c>
      <c r="H4988" s="309"/>
      <c r="I4988" s="346"/>
      <c r="J4988" s="291"/>
      <c r="K4988" s="291"/>
      <c r="L4988" s="291"/>
      <c r="M4988" s="291"/>
      <c r="S4988" s="364"/>
      <c r="Z4988" s="609" t="s">
        <v>2195</v>
      </c>
      <c r="AA4988" s="609"/>
    </row>
    <row r="4989" spans="1:27" ht="17">
      <c r="A4989" s="2714"/>
      <c r="B4989" s="371">
        <v>103</v>
      </c>
      <c r="C4989" s="371"/>
      <c r="D4989" s="2716">
        <f t="shared" si="540"/>
        <v>1</v>
      </c>
      <c r="E4989" s="2721">
        <v>1</v>
      </c>
      <c r="F4989" s="294"/>
      <c r="G4989" s="308" t="s">
        <v>4375</v>
      </c>
      <c r="H4989" s="309"/>
      <c r="I4989" s="346"/>
      <c r="J4989" s="291"/>
      <c r="K4989" s="291"/>
      <c r="L4989" s="291"/>
      <c r="M4989" s="291"/>
      <c r="S4989" s="364"/>
      <c r="Z4989" s="609" t="s">
        <v>2195</v>
      </c>
      <c r="AA4989" s="609"/>
    </row>
    <row r="4990" spans="1:27" ht="17">
      <c r="A4990" s="2714"/>
      <c r="B4990" s="371">
        <v>104</v>
      </c>
      <c r="C4990" s="371"/>
      <c r="D4990" s="2716">
        <f t="shared" si="540"/>
        <v>1</v>
      </c>
      <c r="E4990" s="2721">
        <v>1</v>
      </c>
      <c r="F4990" s="294"/>
      <c r="G4990" s="308" t="s">
        <v>4376</v>
      </c>
      <c r="H4990" s="309"/>
      <c r="I4990" s="346"/>
      <c r="J4990" s="291"/>
      <c r="K4990" s="291"/>
      <c r="L4990" s="291"/>
      <c r="M4990" s="291"/>
      <c r="S4990" s="364"/>
      <c r="Z4990" s="609" t="s">
        <v>2195</v>
      </c>
      <c r="AA4990" s="609"/>
    </row>
    <row r="4991" spans="1:27" ht="17">
      <c r="A4991" s="2714"/>
      <c r="B4991" s="371">
        <v>105</v>
      </c>
      <c r="C4991" s="371"/>
      <c r="D4991" s="2716">
        <f t="shared" si="540"/>
        <v>1</v>
      </c>
      <c r="E4991" s="2721">
        <v>1</v>
      </c>
      <c r="F4991" s="294"/>
      <c r="G4991" s="308" t="s">
        <v>4377</v>
      </c>
      <c r="H4991" s="309"/>
      <c r="I4991" s="346"/>
      <c r="J4991" s="291"/>
      <c r="K4991" s="291"/>
      <c r="L4991" s="291"/>
      <c r="M4991" s="291"/>
      <c r="S4991" s="364"/>
      <c r="Z4991" s="609" t="s">
        <v>2195</v>
      </c>
      <c r="AA4991" s="609"/>
    </row>
    <row r="4992" spans="1:27" ht="17">
      <c r="A4992" s="2714"/>
      <c r="B4992" s="371">
        <v>106</v>
      </c>
      <c r="C4992" s="371"/>
      <c r="D4992" s="2716">
        <f t="shared" si="540"/>
        <v>1</v>
      </c>
      <c r="E4992" s="2721">
        <v>1</v>
      </c>
      <c r="F4992" s="294"/>
      <c r="G4992" s="308" t="s">
        <v>4378</v>
      </c>
      <c r="H4992" s="309"/>
      <c r="I4992" s="346"/>
      <c r="J4992" s="291"/>
      <c r="K4992" s="291"/>
      <c r="L4992" s="291"/>
      <c r="M4992" s="291"/>
      <c r="S4992" s="364"/>
      <c r="Z4992" s="609" t="s">
        <v>2195</v>
      </c>
      <c r="AA4992" s="609"/>
    </row>
    <row r="4993" spans="1:27" ht="17">
      <c r="A4993" s="2714"/>
      <c r="B4993" s="371">
        <v>107</v>
      </c>
      <c r="C4993" s="371"/>
      <c r="D4993" s="2716">
        <f t="shared" si="540"/>
        <v>1</v>
      </c>
      <c r="E4993" s="2721">
        <v>1</v>
      </c>
      <c r="F4993" s="294"/>
      <c r="G4993" s="308" t="s">
        <v>689</v>
      </c>
      <c r="H4993" s="309"/>
      <c r="I4993" s="346"/>
      <c r="J4993" s="291"/>
      <c r="K4993" s="291"/>
      <c r="L4993" s="291"/>
      <c r="M4993" s="291"/>
      <c r="S4993" s="364"/>
      <c r="Z4993" s="609" t="s">
        <v>2195</v>
      </c>
      <c r="AA4993" s="609"/>
    </row>
    <row r="4994" spans="1:27" ht="17">
      <c r="A4994" s="2714"/>
      <c r="B4994" s="371">
        <v>108</v>
      </c>
      <c r="C4994" s="371"/>
      <c r="D4994" s="2716">
        <f t="shared" si="540"/>
        <v>1</v>
      </c>
      <c r="E4994" s="2721">
        <v>1</v>
      </c>
      <c r="F4994" s="294"/>
      <c r="G4994" s="308" t="s">
        <v>4379</v>
      </c>
      <c r="H4994" s="309"/>
      <c r="I4994" s="346"/>
      <c r="J4994" s="291"/>
      <c r="K4994" s="291"/>
      <c r="L4994" s="291"/>
      <c r="M4994" s="291"/>
      <c r="S4994" s="364"/>
      <c r="Z4994" s="609" t="s">
        <v>2195</v>
      </c>
      <c r="AA4994" s="609"/>
    </row>
    <row r="4995" spans="1:27" ht="17">
      <c r="A4995" s="2714"/>
      <c r="B4995" s="371">
        <v>109</v>
      </c>
      <c r="C4995" s="371" t="s">
        <v>2791</v>
      </c>
      <c r="D4995" s="2716">
        <f t="shared" si="540"/>
        <v>0</v>
      </c>
      <c r="E4995" s="2721">
        <v>1</v>
      </c>
      <c r="F4995" s="294"/>
      <c r="G4995" s="1583" t="s">
        <v>2792</v>
      </c>
      <c r="H4995" s="309"/>
      <c r="I4995" s="346"/>
      <c r="J4995" s="291"/>
      <c r="K4995" s="291"/>
      <c r="L4995" s="291"/>
      <c r="M4995" s="291"/>
      <c r="S4995" s="364"/>
      <c r="Z4995" s="609" t="s">
        <v>2195</v>
      </c>
      <c r="AA4995" s="609"/>
    </row>
    <row r="4996" spans="1:27" ht="17.5" thickBot="1">
      <c r="A4996" s="2714"/>
      <c r="B4996" s="371"/>
      <c r="C4996" s="371"/>
      <c r="D4996" s="2716">
        <f t="shared" si="540"/>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7">
      <c r="A4997" s="2714"/>
      <c r="B4997" s="371"/>
      <c r="C4997" s="371" t="s">
        <v>2755</v>
      </c>
      <c r="D4997" s="371"/>
      <c r="F4997" s="294"/>
      <c r="G4997" s="301"/>
      <c r="H4997" s="315"/>
      <c r="I4997" s="315"/>
      <c r="J4997" s="291"/>
      <c r="K4997" s="291"/>
      <c r="L4997" s="291"/>
      <c r="M4997" s="291"/>
      <c r="S4997" s="364"/>
      <c r="Z4997" s="609" t="s">
        <v>2195</v>
      </c>
      <c r="AA4997" s="609"/>
    </row>
    <row r="4998" spans="1:27" ht="17">
      <c r="A4998" s="2714" t="s">
        <v>2197</v>
      </c>
      <c r="B4998" s="371">
        <v>2</v>
      </c>
      <c r="C4998" s="371"/>
      <c r="D4998" s="2716" t="str">
        <f>VLOOKUP($A4998,Sheet_NoteList,2,0)</f>
        <v>补充资料（一）</v>
      </c>
      <c r="E4998" s="2716" t="s">
        <v>6533</v>
      </c>
      <c r="F4998" s="294"/>
      <c r="G4998" s="307" t="str">
        <f>"("&amp;B4998&amp;")"&amp;D4998</f>
        <v>(2)补充资料（一）</v>
      </c>
      <c r="H4998" s="1517" t="str">
        <f>$A4998</f>
        <v>9690b</v>
      </c>
      <c r="I4998" s="343" t="s">
        <v>5970</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7">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7">
      <c r="A5001" s="2714"/>
      <c r="B5001" s="371">
        <v>101</v>
      </c>
      <c r="C5001" s="371" t="s">
        <v>2791</v>
      </c>
      <c r="D5001" s="2716">
        <f t="shared" ref="D5001:D5006" si="541">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7">
      <c r="A5002" s="2714"/>
      <c r="B5002" s="371">
        <v>102</v>
      </c>
      <c r="C5002" s="371" t="s">
        <v>2791</v>
      </c>
      <c r="D5002" s="2716">
        <f t="shared" si="541"/>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7">
      <c r="A5003" s="2714"/>
      <c r="B5003" s="371">
        <v>103</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7">
      <c r="A5004" s="2714"/>
      <c r="B5004" s="371">
        <v>104</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7">
      <c r="A5005" s="2714"/>
      <c r="B5005" s="371">
        <v>105</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7.5" thickBot="1">
      <c r="A5006" s="2714"/>
      <c r="B5006" s="371"/>
      <c r="C5006" s="371"/>
      <c r="D5006" s="2716">
        <f t="shared" si="541"/>
        <v>1</v>
      </c>
      <c r="E5006" s="2721" t="s">
        <v>2751</v>
      </c>
      <c r="F5006" s="294"/>
      <c r="G5006" s="1529" t="s">
        <v>2752</v>
      </c>
      <c r="H5006" s="1527">
        <f t="shared" ref="H5006:N5006" si="542">SUMPRODUCT($E5000:$E5005,H5000:H5005)</f>
        <v>0</v>
      </c>
      <c r="I5006" s="1527">
        <f t="shared" si="542"/>
        <v>0</v>
      </c>
      <c r="J5006" s="1527">
        <f t="shared" si="542"/>
        <v>0</v>
      </c>
      <c r="K5006" s="1527">
        <f t="shared" si="542"/>
        <v>0</v>
      </c>
      <c r="L5006" s="1527">
        <f t="shared" si="542"/>
        <v>0</v>
      </c>
      <c r="M5006" s="1527">
        <f t="shared" si="542"/>
        <v>0</v>
      </c>
      <c r="N5006" s="1527">
        <f t="shared" si="542"/>
        <v>0</v>
      </c>
      <c r="O5006" s="2316"/>
      <c r="P5006" s="2316"/>
      <c r="Q5006" s="2266"/>
      <c r="S5006" s="364"/>
      <c r="Z5006" s="609" t="s">
        <v>2195</v>
      </c>
      <c r="AA5006" s="609"/>
    </row>
    <row r="5007" spans="1:27" ht="17">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7">
      <c r="A5008" s="2714" t="s">
        <v>2200</v>
      </c>
      <c r="B5008" s="371">
        <v>3</v>
      </c>
      <c r="C5008" s="371"/>
      <c r="D5008" s="2716" t="str">
        <f>VLOOKUP($A5008,Sheet_NoteList,2,0)</f>
        <v>补充资料（二）</v>
      </c>
      <c r="E5008" s="2716" t="s">
        <v>6533</v>
      </c>
      <c r="F5008" s="294"/>
      <c r="G5008" s="307" t="str">
        <f>"("&amp;B5008&amp;")"&amp;D5008</f>
        <v>(3)补充资料（二）</v>
      </c>
      <c r="H5008" s="1517" t="str">
        <f>$A5008</f>
        <v>9690c</v>
      </c>
      <c r="I5008" s="343" t="s">
        <v>5975</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7">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7">
      <c r="A5011" s="2714"/>
      <c r="B5011" s="371">
        <v>101</v>
      </c>
      <c r="C5011" s="371" t="s">
        <v>2791</v>
      </c>
      <c r="D5011" s="2716">
        <f t="shared" ref="D5011:D5016" si="543">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7">
      <c r="A5012" s="2714"/>
      <c r="B5012" s="371">
        <v>102</v>
      </c>
      <c r="C5012" s="371" t="s">
        <v>2791</v>
      </c>
      <c r="D5012" s="2716">
        <f t="shared" si="543"/>
        <v>0</v>
      </c>
      <c r="E5012" s="2721">
        <v>1</v>
      </c>
      <c r="F5012" s="294"/>
      <c r="G5012" s="2467" t="s">
        <v>2792</v>
      </c>
      <c r="H5012" s="2275"/>
      <c r="I5012" s="2275"/>
      <c r="J5012" s="2275"/>
      <c r="K5012" s="2275"/>
      <c r="L5012" s="2275"/>
      <c r="M5012" s="2298"/>
      <c r="N5012" s="2298"/>
      <c r="O5012" s="2276"/>
      <c r="S5012" s="364"/>
      <c r="Z5012" s="609" t="s">
        <v>2195</v>
      </c>
      <c r="AA5012" s="609"/>
    </row>
    <row r="5013" spans="1:27" ht="17">
      <c r="A5013" s="2714"/>
      <c r="B5013" s="371">
        <v>103</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7">
      <c r="A5014" s="2714"/>
      <c r="B5014" s="371">
        <v>104</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7">
      <c r="A5015" s="2714"/>
      <c r="B5015" s="371">
        <v>105</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7.5" thickBot="1">
      <c r="A5016" s="2714"/>
      <c r="B5016" s="371"/>
      <c r="C5016" s="371"/>
      <c r="D5016" s="2716">
        <f t="shared" si="543"/>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7">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7">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7">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50.09</v>
      </c>
      <c r="L5019" s="342"/>
      <c r="M5019" s="306" t="s">
        <v>4207</v>
      </c>
      <c r="N5019" s="341">
        <f>VLOOKUP($A5019,Sheet_Trialbal,10,0)</f>
        <v>21238.44</v>
      </c>
      <c r="O5019" s="325"/>
      <c r="P5019" s="301"/>
      <c r="S5019" s="364"/>
      <c r="Z5019" s="609" t="s">
        <v>4384</v>
      </c>
      <c r="AA5019" s="609"/>
    </row>
    <row r="5020" spans="1:27" ht="26">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50.09</v>
      </c>
      <c r="L5020" s="1535">
        <f>IF($I5020="适用",IF(ROUND(K5019-K5020,2)&gt;=0,IF(K5019&lt;&gt;0,K5020/K5019,""),"#Logical!"),"#N/A")</f>
        <v>1</v>
      </c>
      <c r="M5020" s="301" t="s">
        <v>4257</v>
      </c>
      <c r="N5020" s="2210">
        <f>I5033</f>
        <v>0</v>
      </c>
      <c r="O5020" s="1535">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7">
      <c r="A5022" s="2714"/>
      <c r="B5022" s="371"/>
      <c r="C5022" s="371"/>
      <c r="D5022" s="371"/>
      <c r="E5022" s="586" t="s">
        <v>2749</v>
      </c>
      <c r="F5022" s="363"/>
      <c r="G5022" s="2453" t="s">
        <v>47</v>
      </c>
      <c r="H5022" s="2461" t="str">
        <f>$V$4</f>
        <v>2019年度</v>
      </c>
      <c r="I5022" s="2462" t="str">
        <f>$V$5</f>
        <v>2018年度</v>
      </c>
      <c r="J5022" s="355" t="s">
        <v>5343</v>
      </c>
      <c r="K5022" s="291"/>
      <c r="L5022" s="291"/>
      <c r="M5022" s="291"/>
      <c r="S5022" s="364"/>
      <c r="Z5022" s="609" t="s">
        <v>4384</v>
      </c>
      <c r="AA5022" s="609"/>
    </row>
    <row r="5023" spans="1:27" ht="17">
      <c r="A5023" s="2714"/>
      <c r="B5023" s="371">
        <v>101</v>
      </c>
      <c r="C5023" s="371" t="s">
        <v>2791</v>
      </c>
      <c r="D5023" s="2716">
        <f t="shared" ref="D5023:D5033" si="544">IF(OR(G5023="*",G5023="",G5023=0),0,COUNTIF($G$5023:$G$5033,G5023))</f>
        <v>1</v>
      </c>
      <c r="E5023" s="2721">
        <v>1</v>
      </c>
      <c r="F5023" s="294"/>
      <c r="G5023" s="2467" t="s">
        <v>6821</v>
      </c>
      <c r="H5023" s="2275">
        <v>50.09</v>
      </c>
      <c r="I5023" s="2296"/>
      <c r="J5023" s="3105">
        <f>H4754</f>
        <v>50.09</v>
      </c>
      <c r="K5023" s="3105">
        <f>H5023-J5023</f>
        <v>0</v>
      </c>
      <c r="L5023" s="291"/>
      <c r="M5023" s="291"/>
      <c r="S5023" s="364"/>
      <c r="Z5023" s="609" t="s">
        <v>4384</v>
      </c>
      <c r="AA5023" s="609"/>
    </row>
    <row r="5024" spans="1:27" ht="17">
      <c r="A5024" s="2714"/>
      <c r="B5024" s="371">
        <v>102</v>
      </c>
      <c r="C5024" s="371" t="s">
        <v>2791</v>
      </c>
      <c r="D5024" s="2716">
        <f t="shared" si="544"/>
        <v>0</v>
      </c>
      <c r="E5024" s="2721">
        <v>1</v>
      </c>
      <c r="F5024" s="294"/>
      <c r="G5024" s="2467" t="s">
        <v>2792</v>
      </c>
      <c r="H5024" s="2275"/>
      <c r="I5024" s="2296"/>
      <c r="J5024" s="291"/>
      <c r="K5024" s="291"/>
      <c r="L5024" s="291"/>
      <c r="M5024" s="291"/>
      <c r="S5024" s="364"/>
      <c r="Z5024" s="609" t="s">
        <v>4384</v>
      </c>
      <c r="AA5024" s="609"/>
    </row>
    <row r="5025" spans="1:27" ht="17">
      <c r="A5025" s="2714"/>
      <c r="B5025" s="371">
        <v>103</v>
      </c>
      <c r="C5025" s="371" t="s">
        <v>2791</v>
      </c>
      <c r="D5025" s="2716">
        <f t="shared" si="544"/>
        <v>0</v>
      </c>
      <c r="E5025" s="2721">
        <v>1</v>
      </c>
      <c r="F5025" s="294"/>
      <c r="G5025" s="2467" t="s">
        <v>2792</v>
      </c>
      <c r="H5025" s="2275"/>
      <c r="I5025" s="2296"/>
      <c r="J5025" s="291"/>
      <c r="K5025" s="291"/>
      <c r="L5025" s="291"/>
      <c r="M5025" s="291"/>
      <c r="S5025" s="364"/>
      <c r="Z5025" s="609" t="s">
        <v>4384</v>
      </c>
      <c r="AA5025" s="609"/>
    </row>
    <row r="5026" spans="1:27" ht="17">
      <c r="A5026" s="2714"/>
      <c r="B5026" s="371">
        <v>104</v>
      </c>
      <c r="C5026" s="371" t="s">
        <v>2791</v>
      </c>
      <c r="D5026" s="2716">
        <f t="shared" si="544"/>
        <v>0</v>
      </c>
      <c r="E5026" s="2721">
        <v>1</v>
      </c>
      <c r="F5026" s="294"/>
      <c r="G5026" s="2467" t="s">
        <v>2792</v>
      </c>
      <c r="H5026" s="2275"/>
      <c r="I5026" s="2296"/>
      <c r="J5026" s="291"/>
      <c r="K5026" s="291"/>
      <c r="L5026" s="291"/>
      <c r="M5026" s="291"/>
      <c r="S5026" s="364"/>
      <c r="Z5026" s="609" t="s">
        <v>4384</v>
      </c>
      <c r="AA5026" s="609"/>
    </row>
    <row r="5027" spans="1:27" ht="17">
      <c r="A5027" s="2714"/>
      <c r="B5027" s="371">
        <v>105</v>
      </c>
      <c r="C5027" s="371" t="s">
        <v>2791</v>
      </c>
      <c r="D5027" s="2716">
        <f t="shared" si="544"/>
        <v>0</v>
      </c>
      <c r="E5027" s="2721">
        <v>1</v>
      </c>
      <c r="F5027" s="294"/>
      <c r="G5027" s="2467" t="s">
        <v>2792</v>
      </c>
      <c r="H5027" s="2275"/>
      <c r="I5027" s="2296"/>
      <c r="J5027" s="291"/>
      <c r="K5027" s="291"/>
      <c r="L5027" s="291"/>
      <c r="M5027" s="291"/>
      <c r="S5027" s="364"/>
      <c r="Z5027" s="609" t="s">
        <v>4384</v>
      </c>
      <c r="AA5027" s="609"/>
    </row>
    <row r="5028" spans="1:27" ht="17">
      <c r="A5028" s="2714"/>
      <c r="B5028" s="371">
        <v>106</v>
      </c>
      <c r="C5028" s="371" t="s">
        <v>2791</v>
      </c>
      <c r="D5028" s="2716">
        <f t="shared" si="544"/>
        <v>0</v>
      </c>
      <c r="E5028" s="2721">
        <v>1</v>
      </c>
      <c r="F5028" s="294"/>
      <c r="G5028" s="2467" t="s">
        <v>2792</v>
      </c>
      <c r="H5028" s="2275"/>
      <c r="I5028" s="2296"/>
      <c r="J5028" s="291"/>
      <c r="K5028" s="291"/>
      <c r="L5028" s="291"/>
      <c r="M5028" s="291"/>
      <c r="S5028" s="364"/>
      <c r="Z5028" s="609" t="s">
        <v>4384</v>
      </c>
      <c r="AA5028" s="609"/>
    </row>
    <row r="5029" spans="1:27" ht="17">
      <c r="A5029" s="2714"/>
      <c r="B5029" s="371">
        <v>107</v>
      </c>
      <c r="C5029" s="371" t="s">
        <v>2791</v>
      </c>
      <c r="D5029" s="2716">
        <f t="shared" si="544"/>
        <v>0</v>
      </c>
      <c r="E5029" s="2721">
        <v>1</v>
      </c>
      <c r="F5029" s="294"/>
      <c r="G5029" s="2467" t="s">
        <v>2792</v>
      </c>
      <c r="H5029" s="2275"/>
      <c r="I5029" s="2296"/>
      <c r="J5029" s="291"/>
      <c r="K5029" s="291"/>
      <c r="L5029" s="291"/>
      <c r="M5029" s="291"/>
      <c r="S5029" s="364"/>
      <c r="Z5029" s="609" t="s">
        <v>4384</v>
      </c>
      <c r="AA5029" s="609"/>
    </row>
    <row r="5030" spans="1:27" ht="17">
      <c r="A5030" s="2714"/>
      <c r="B5030" s="371">
        <v>108</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7">
      <c r="A5031" s="2714"/>
      <c r="B5031" s="371">
        <v>109</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7">
      <c r="A5032" s="2714"/>
      <c r="B5032" s="371">
        <v>110</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7.5" thickBot="1">
      <c r="A5033" s="2714"/>
      <c r="B5033" s="371"/>
      <c r="C5033" s="371"/>
      <c r="D5033" s="2716">
        <f t="shared" si="544"/>
        <v>1</v>
      </c>
      <c r="E5033" s="2721" t="s">
        <v>2751</v>
      </c>
      <c r="F5033" s="294"/>
      <c r="G5033" s="2234" t="s">
        <v>2752</v>
      </c>
      <c r="H5033" s="2235">
        <f>SUMPRODUCT($E5022:$E5032,H5022:H5032)</f>
        <v>50.09</v>
      </c>
      <c r="I5033" s="2236">
        <f>SUMPRODUCT($E5022:$E5032,I5022:I5032)</f>
        <v>0</v>
      </c>
      <c r="J5033" s="291"/>
      <c r="K5033" s="291"/>
      <c r="L5033" s="291"/>
      <c r="M5033" s="291"/>
      <c r="S5033" s="364"/>
      <c r="Z5033" s="609" t="s">
        <v>4384</v>
      </c>
      <c r="AA5033" s="609"/>
    </row>
    <row r="5034" spans="1:27" ht="17">
      <c r="A5034" s="2714"/>
      <c r="B5034" s="371"/>
      <c r="C5034" s="371" t="s">
        <v>2755</v>
      </c>
      <c r="D5034" s="371"/>
      <c r="F5034" s="294"/>
      <c r="G5034" s="301"/>
      <c r="H5034" s="315"/>
      <c r="I5034" s="315"/>
      <c r="J5034" s="291"/>
      <c r="K5034" s="291"/>
      <c r="L5034" s="291"/>
      <c r="M5034" s="291"/>
      <c r="O5034" s="290"/>
      <c r="S5034" s="364"/>
      <c r="Z5034" s="609" t="s">
        <v>4384</v>
      </c>
      <c r="AA5034" s="609"/>
    </row>
    <row r="5035" spans="1:27" ht="17">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2375</v>
      </c>
      <c r="L5035" s="342"/>
      <c r="M5035" s="306" t="s">
        <v>4207</v>
      </c>
      <c r="N5035" s="341">
        <f>VLOOKUP($A5035,Sheet_Trialbal,10,0)</f>
        <v>3432.76</v>
      </c>
      <c r="O5035" s="306"/>
      <c r="P5035" s="301"/>
      <c r="S5035" s="364"/>
      <c r="Z5035" s="609" t="s">
        <v>4386</v>
      </c>
      <c r="AA5035" s="609"/>
    </row>
    <row r="5036" spans="1:27" ht="26">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2375</v>
      </c>
      <c r="L5036" s="1535">
        <f>IF($I5036="适用",IF(ROUND(K5035-K5036,2)&gt;=0,IF(K5035&lt;&gt;0,K5036/K5035,""),"#Logical!"),"#N/A")</f>
        <v>1</v>
      </c>
      <c r="M5036" s="301" t="s">
        <v>4257</v>
      </c>
      <c r="N5036" s="2210">
        <f>I5049</f>
        <v>0</v>
      </c>
      <c r="O5036" s="1535">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7">
      <c r="A5038" s="2714"/>
      <c r="B5038" s="371"/>
      <c r="C5038" s="371"/>
      <c r="D5038" s="371"/>
      <c r="E5038" s="586" t="s">
        <v>2749</v>
      </c>
      <c r="F5038" s="363"/>
      <c r="G5038" s="2453" t="s">
        <v>47</v>
      </c>
      <c r="H5038" s="2461" t="str">
        <f>$V$4</f>
        <v>2019年度</v>
      </c>
      <c r="I5038" s="2462" t="str">
        <f>$V$5</f>
        <v>2018年度</v>
      </c>
      <c r="J5038" s="355" t="s">
        <v>5343</v>
      </c>
      <c r="K5038" s="291"/>
      <c r="L5038" s="291"/>
      <c r="M5038" s="291"/>
      <c r="S5038" s="364"/>
      <c r="Z5038" s="609" t="s">
        <v>4386</v>
      </c>
      <c r="AA5038" s="609"/>
    </row>
    <row r="5039" spans="1:27" ht="17">
      <c r="A5039" s="2714"/>
      <c r="B5039" s="371">
        <v>101</v>
      </c>
      <c r="C5039" s="371" t="s">
        <v>2791</v>
      </c>
      <c r="D5039" s="2716">
        <f t="shared" ref="D5039:D5049" si="545">IF(OR(G5039="*",G5039="",G5039=0),0,COUNTIF($G$5039:$G$5049,G5039))</f>
        <v>1</v>
      </c>
      <c r="E5039" s="2721">
        <v>1</v>
      </c>
      <c r="F5039" s="294"/>
      <c r="G5039" s="2467" t="s">
        <v>6819</v>
      </c>
      <c r="H5039" s="2275">
        <v>1375</v>
      </c>
      <c r="I5039" s="2296"/>
      <c r="J5039" s="3105">
        <f>H4759</f>
        <v>1375</v>
      </c>
      <c r="K5039" s="3105">
        <f>H5039-J5039</f>
        <v>0</v>
      </c>
      <c r="L5039" s="291"/>
      <c r="M5039" s="291"/>
      <c r="S5039" s="364"/>
      <c r="Z5039" s="609" t="s">
        <v>4386</v>
      </c>
      <c r="AA5039" s="609"/>
    </row>
    <row r="5040" spans="1:27" ht="17">
      <c r="A5040" s="2714"/>
      <c r="B5040" s="371">
        <v>102</v>
      </c>
      <c r="C5040" s="371" t="s">
        <v>2791</v>
      </c>
      <c r="D5040" s="2716">
        <f t="shared" si="545"/>
        <v>1</v>
      </c>
      <c r="E5040" s="2721">
        <v>1</v>
      </c>
      <c r="F5040" s="294"/>
      <c r="G5040" s="2467" t="s">
        <v>6820</v>
      </c>
      <c r="H5040" s="2275">
        <v>1000</v>
      </c>
      <c r="I5040" s="2296"/>
      <c r="J5040" s="291">
        <f>IS!E11</f>
        <v>1000</v>
      </c>
      <c r="K5040" s="3105">
        <f>H5040-J5040</f>
        <v>0</v>
      </c>
      <c r="L5040" s="291"/>
      <c r="M5040" s="291"/>
      <c r="S5040" s="364"/>
      <c r="Z5040" s="609" t="s">
        <v>4386</v>
      </c>
      <c r="AA5040" s="609"/>
    </row>
    <row r="5041" spans="1:27" ht="17">
      <c r="A5041" s="2714"/>
      <c r="B5041" s="371">
        <v>103</v>
      </c>
      <c r="C5041" s="371" t="s">
        <v>2791</v>
      </c>
      <c r="D5041" s="2716">
        <f t="shared" si="545"/>
        <v>0</v>
      </c>
      <c r="E5041" s="2721">
        <v>1</v>
      </c>
      <c r="F5041" s="294"/>
      <c r="G5041" s="2467" t="s">
        <v>2792</v>
      </c>
      <c r="H5041" s="2275"/>
      <c r="I5041" s="2296"/>
      <c r="J5041" s="291"/>
      <c r="K5041" s="291"/>
      <c r="L5041" s="291"/>
      <c r="M5041" s="291"/>
      <c r="S5041" s="364"/>
      <c r="Z5041" s="609" t="s">
        <v>4386</v>
      </c>
      <c r="AA5041" s="609"/>
    </row>
    <row r="5042" spans="1:27" ht="17">
      <c r="A5042" s="2714"/>
      <c r="B5042" s="371">
        <v>104</v>
      </c>
      <c r="C5042" s="371" t="s">
        <v>2791</v>
      </c>
      <c r="D5042" s="2716">
        <f t="shared" si="545"/>
        <v>0</v>
      </c>
      <c r="E5042" s="2721">
        <v>1</v>
      </c>
      <c r="F5042" s="294"/>
      <c r="G5042" s="2467" t="s">
        <v>2792</v>
      </c>
      <c r="H5042" s="2275"/>
      <c r="I5042" s="2296"/>
      <c r="J5042" s="291"/>
      <c r="K5042" s="291"/>
      <c r="L5042" s="291"/>
      <c r="M5042" s="291"/>
      <c r="S5042" s="364"/>
      <c r="Z5042" s="609" t="s">
        <v>4386</v>
      </c>
      <c r="AA5042" s="609"/>
    </row>
    <row r="5043" spans="1:27" ht="17">
      <c r="A5043" s="2714"/>
      <c r="B5043" s="371">
        <v>105</v>
      </c>
      <c r="C5043" s="371" t="s">
        <v>2791</v>
      </c>
      <c r="D5043" s="2716">
        <f t="shared" si="545"/>
        <v>0</v>
      </c>
      <c r="E5043" s="2721">
        <v>1</v>
      </c>
      <c r="F5043" s="294"/>
      <c r="G5043" s="2467" t="s">
        <v>2792</v>
      </c>
      <c r="H5043" s="2275"/>
      <c r="I5043" s="2296"/>
      <c r="J5043" s="291"/>
      <c r="K5043" s="291"/>
      <c r="L5043" s="291"/>
      <c r="M5043" s="291"/>
      <c r="S5043" s="364"/>
      <c r="Z5043" s="609" t="s">
        <v>4386</v>
      </c>
      <c r="AA5043" s="609"/>
    </row>
    <row r="5044" spans="1:27" ht="17">
      <c r="A5044" s="2714"/>
      <c r="B5044" s="371">
        <v>106</v>
      </c>
      <c r="C5044" s="371" t="s">
        <v>2791</v>
      </c>
      <c r="D5044" s="2716">
        <f t="shared" si="545"/>
        <v>0</v>
      </c>
      <c r="E5044" s="2721">
        <v>1</v>
      </c>
      <c r="F5044" s="294"/>
      <c r="G5044" s="2467" t="s">
        <v>2792</v>
      </c>
      <c r="H5044" s="2275"/>
      <c r="I5044" s="2296"/>
      <c r="J5044" s="291"/>
      <c r="K5044" s="291"/>
      <c r="L5044" s="291"/>
      <c r="M5044" s="291"/>
      <c r="S5044" s="364"/>
      <c r="Z5044" s="609" t="s">
        <v>4386</v>
      </c>
      <c r="AA5044" s="609"/>
    </row>
    <row r="5045" spans="1:27" ht="17">
      <c r="A5045" s="2714"/>
      <c r="B5045" s="371">
        <v>107</v>
      </c>
      <c r="C5045" s="371" t="s">
        <v>2791</v>
      </c>
      <c r="D5045" s="2716">
        <f t="shared" si="545"/>
        <v>0</v>
      </c>
      <c r="E5045" s="2721">
        <v>1</v>
      </c>
      <c r="F5045" s="294"/>
      <c r="G5045" s="2467" t="s">
        <v>2792</v>
      </c>
      <c r="H5045" s="2275"/>
      <c r="I5045" s="2296"/>
      <c r="J5045" s="291"/>
      <c r="K5045" s="291"/>
      <c r="L5045" s="291"/>
      <c r="M5045" s="291"/>
      <c r="S5045" s="364"/>
      <c r="Z5045" s="609" t="s">
        <v>4386</v>
      </c>
      <c r="AA5045" s="609"/>
    </row>
    <row r="5046" spans="1:27" ht="17">
      <c r="A5046" s="2714"/>
      <c r="B5046" s="371">
        <v>108</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7">
      <c r="A5047" s="2714"/>
      <c r="B5047" s="371">
        <v>109</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7">
      <c r="A5048" s="2714"/>
      <c r="B5048" s="371">
        <v>110</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7.5" thickBot="1">
      <c r="A5049" s="2714"/>
      <c r="B5049" s="371"/>
      <c r="C5049" s="371"/>
      <c r="D5049" s="2716">
        <f t="shared" si="545"/>
        <v>1</v>
      </c>
      <c r="E5049" s="2721" t="s">
        <v>2751</v>
      </c>
      <c r="F5049" s="294"/>
      <c r="G5049" s="2234" t="s">
        <v>2752</v>
      </c>
      <c r="H5049" s="2235">
        <f>SUMPRODUCT($E5038:$E5048,H5038:H5048)</f>
        <v>2375</v>
      </c>
      <c r="I5049" s="2236">
        <f>SUMPRODUCT($E5038:$E5048,I5038:I5048)</f>
        <v>0</v>
      </c>
      <c r="J5049" s="291"/>
      <c r="K5049" s="291"/>
      <c r="L5049" s="291"/>
      <c r="M5049" s="291"/>
      <c r="S5049" s="364"/>
      <c r="Z5049" s="609" t="s">
        <v>4386</v>
      </c>
      <c r="AA5049" s="609"/>
    </row>
    <row r="5050" spans="1:27" ht="17">
      <c r="A5050" s="2714"/>
      <c r="B5050" s="371"/>
      <c r="C5050" s="371" t="s">
        <v>2755</v>
      </c>
      <c r="D5050" s="371"/>
      <c r="F5050" s="294"/>
      <c r="G5050" s="301"/>
      <c r="H5050" s="315"/>
      <c r="I5050" s="315"/>
      <c r="J5050" s="291"/>
      <c r="K5050" s="291"/>
      <c r="L5050" s="291"/>
      <c r="M5050" s="291"/>
      <c r="S5050" s="364"/>
      <c r="Z5050" s="609" t="s">
        <v>4386</v>
      </c>
      <c r="AA5050" s="609"/>
    </row>
    <row r="5051" spans="1:27" ht="17">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6">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7">
      <c r="A5054" s="2714"/>
      <c r="B5054" s="371"/>
      <c r="C5054" s="371"/>
      <c r="D5054" s="371"/>
      <c r="E5054" s="586" t="s">
        <v>2749</v>
      </c>
      <c r="F5054" s="363"/>
      <c r="G5054" s="2453" t="s">
        <v>47</v>
      </c>
      <c r="H5054" s="2461" t="str">
        <f>$V$4</f>
        <v>2019年度</v>
      </c>
      <c r="I5054" s="2462" t="str">
        <f>$V$5</f>
        <v>2018年度</v>
      </c>
      <c r="J5054" s="355" t="s">
        <v>5343</v>
      </c>
      <c r="K5054" s="291"/>
      <c r="L5054" s="291"/>
      <c r="M5054" s="291"/>
      <c r="S5054" s="364"/>
      <c r="Z5054" s="609" t="s">
        <v>4388</v>
      </c>
      <c r="AA5054" s="609"/>
    </row>
    <row r="5055" spans="1:27" ht="17">
      <c r="A5055" s="2714"/>
      <c r="B5055" s="371">
        <v>101</v>
      </c>
      <c r="C5055" s="371" t="s">
        <v>2791</v>
      </c>
      <c r="D5055" s="2716">
        <f t="shared" ref="D5055:D5060" si="546">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7">
      <c r="A5056" s="2714"/>
      <c r="B5056" s="371">
        <v>102</v>
      </c>
      <c r="C5056" s="371" t="s">
        <v>2791</v>
      </c>
      <c r="D5056" s="2716">
        <f t="shared" si="546"/>
        <v>0</v>
      </c>
      <c r="E5056" s="2721">
        <v>1</v>
      </c>
      <c r="F5056" s="294"/>
      <c r="G5056" s="2467" t="s">
        <v>2792</v>
      </c>
      <c r="H5056" s="2275"/>
      <c r="I5056" s="2296"/>
      <c r="J5056" s="291"/>
      <c r="K5056" s="291"/>
      <c r="L5056" s="291"/>
      <c r="M5056" s="291"/>
      <c r="S5056" s="364"/>
      <c r="Z5056" s="609" t="s">
        <v>4388</v>
      </c>
      <c r="AA5056" s="609"/>
    </row>
    <row r="5057" spans="1:27" ht="17">
      <c r="A5057" s="2714"/>
      <c r="B5057" s="371">
        <v>103</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7">
      <c r="A5058" s="2714"/>
      <c r="B5058" s="371">
        <v>104</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7">
      <c r="A5059" s="2714"/>
      <c r="B5059" s="371">
        <v>105</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7.5" thickBot="1">
      <c r="A5060" s="2714"/>
      <c r="B5060" s="371"/>
      <c r="C5060" s="371"/>
      <c r="D5060" s="2716">
        <f t="shared" si="546"/>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7">
      <c r="A5061" s="2714"/>
      <c r="B5061" s="371"/>
      <c r="C5061" s="371" t="s">
        <v>2755</v>
      </c>
      <c r="D5061" s="371"/>
      <c r="F5061" s="294"/>
      <c r="G5061" s="301"/>
      <c r="H5061" s="315"/>
      <c r="I5061" s="315"/>
      <c r="J5061" s="291"/>
      <c r="K5061" s="291"/>
      <c r="L5061" s="291"/>
      <c r="M5061" s="291"/>
      <c r="S5061" s="364"/>
      <c r="Z5061" s="609" t="s">
        <v>4388</v>
      </c>
      <c r="AA5061" s="609"/>
    </row>
    <row r="5062" spans="1:27" ht="17">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6">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0</v>
      </c>
      <c r="L5063" s="1535" t="str">
        <f>IF($I5063="适用",IF(ROUND(K5062-K5063,2)&gt;=0,IF(K5062&lt;&gt;0,K5063/K5062,""),"#Logical!"),"#N/A")</f>
        <v/>
      </c>
      <c r="M5063" s="301" t="s">
        <v>4257</v>
      </c>
      <c r="N5063" s="2210">
        <f>I5071</f>
        <v>0</v>
      </c>
      <c r="O5063" s="1535"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7">
      <c r="A5065" s="2714"/>
      <c r="B5065" s="371"/>
      <c r="C5065" s="371"/>
      <c r="D5065" s="371"/>
      <c r="E5065" s="586" t="s">
        <v>2749</v>
      </c>
      <c r="F5065" s="363"/>
      <c r="G5065" s="2453" t="s">
        <v>47</v>
      </c>
      <c r="H5065" s="2461" t="str">
        <f>$V$4</f>
        <v>2019年度</v>
      </c>
      <c r="I5065" s="2462" t="str">
        <f>$V$5</f>
        <v>2018年度</v>
      </c>
      <c r="J5065" s="355" t="s">
        <v>5343</v>
      </c>
      <c r="K5065" s="291"/>
      <c r="L5065" s="291"/>
      <c r="M5065" s="291"/>
      <c r="S5065" s="364"/>
      <c r="Z5065" s="609" t="s">
        <v>4390</v>
      </c>
      <c r="AA5065" s="609"/>
    </row>
    <row r="5066" spans="1:27" ht="17">
      <c r="A5066" s="2714"/>
      <c r="B5066" s="371">
        <v>101</v>
      </c>
      <c r="C5066" s="371" t="s">
        <v>2791</v>
      </c>
      <c r="D5066" s="2716">
        <f t="shared" ref="D5066:D5071" si="547">IF(OR(G5066="*",G5066="",G5066=0),0,COUNTIF($G$5066:$G$5071,G5066))</f>
        <v>0</v>
      </c>
      <c r="E5066" s="2721">
        <v>1</v>
      </c>
      <c r="F5066" s="294"/>
      <c r="G5066" s="2467" t="s">
        <v>2792</v>
      </c>
      <c r="H5066" s="2275"/>
      <c r="I5066" s="2296"/>
      <c r="J5066" s="291"/>
      <c r="K5066" s="291"/>
      <c r="L5066" s="291"/>
      <c r="M5066" s="291"/>
      <c r="S5066" s="364"/>
      <c r="Z5066" s="609" t="s">
        <v>4390</v>
      </c>
      <c r="AA5066" s="609"/>
    </row>
    <row r="5067" spans="1:27" ht="17">
      <c r="A5067" s="2714"/>
      <c r="B5067" s="371">
        <v>102</v>
      </c>
      <c r="C5067" s="371" t="s">
        <v>2791</v>
      </c>
      <c r="D5067" s="2716">
        <f t="shared" si="547"/>
        <v>0</v>
      </c>
      <c r="E5067" s="2721">
        <v>1</v>
      </c>
      <c r="F5067" s="294"/>
      <c r="G5067" s="2467" t="s">
        <v>2792</v>
      </c>
      <c r="H5067" s="2275"/>
      <c r="I5067" s="2296"/>
      <c r="J5067" s="291"/>
      <c r="K5067" s="291"/>
      <c r="L5067" s="291"/>
      <c r="M5067" s="291"/>
      <c r="S5067" s="364"/>
      <c r="Z5067" s="609" t="s">
        <v>4390</v>
      </c>
      <c r="AA5067" s="609"/>
    </row>
    <row r="5068" spans="1:27" ht="17">
      <c r="A5068" s="2714"/>
      <c r="B5068" s="371">
        <v>103</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7">
      <c r="A5069" s="2714"/>
      <c r="B5069" s="371">
        <v>104</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7">
      <c r="A5070" s="2714"/>
      <c r="B5070" s="371">
        <v>105</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7.5" thickBot="1">
      <c r="A5071" s="2714"/>
      <c r="B5071" s="371"/>
      <c r="C5071" s="371"/>
      <c r="D5071" s="2716">
        <f t="shared" si="547"/>
        <v>1</v>
      </c>
      <c r="E5071" s="2721" t="s">
        <v>2751</v>
      </c>
      <c r="F5071" s="294"/>
      <c r="G5071" s="2234" t="s">
        <v>2752</v>
      </c>
      <c r="H5071" s="2235">
        <f>SUMPRODUCT($E5065:$E5070,H5065:H5070)</f>
        <v>0</v>
      </c>
      <c r="I5071" s="2236">
        <f>SUMPRODUCT($E5065:$E5070,I5065:I5070)</f>
        <v>0</v>
      </c>
      <c r="J5071" s="291"/>
      <c r="K5071" s="291"/>
      <c r="L5071" s="291"/>
      <c r="M5071" s="291"/>
      <c r="S5071" s="364"/>
      <c r="Z5071" s="609" t="s">
        <v>4390</v>
      </c>
      <c r="AA5071" s="609"/>
    </row>
    <row r="5072" spans="1:27" ht="17">
      <c r="A5072" s="2714"/>
      <c r="B5072" s="371"/>
      <c r="C5072" s="371" t="s">
        <v>2755</v>
      </c>
      <c r="D5072" s="371"/>
      <c r="F5072" s="294"/>
      <c r="G5072" s="301"/>
      <c r="H5072" s="315"/>
      <c r="I5072" s="315"/>
      <c r="J5072" s="291"/>
      <c r="K5072" s="291"/>
      <c r="L5072" s="291"/>
      <c r="M5072" s="291"/>
      <c r="S5072" s="364"/>
      <c r="Z5072" s="609" t="s">
        <v>4390</v>
      </c>
      <c r="AA5072" s="609"/>
    </row>
    <row r="5073" spans="1:27" ht="17">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6">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0</v>
      </c>
      <c r="L5074" s="1535" t="str">
        <f>IF($I5074="适用",IF(ROUND(K5073-K5074,2)&gt;=0,IF(K5073&lt;&gt;0,K5074/K5073,""),"#Logical!"),"#N/A")</f>
        <v/>
      </c>
      <c r="M5074" s="301" t="s">
        <v>4257</v>
      </c>
      <c r="N5074" s="2210">
        <f>I5082</f>
        <v>0</v>
      </c>
      <c r="O5074" s="1535"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7">
      <c r="A5076" s="2714"/>
      <c r="B5076" s="371"/>
      <c r="C5076" s="371"/>
      <c r="D5076" s="371"/>
      <c r="E5076" s="586" t="s">
        <v>2749</v>
      </c>
      <c r="F5076" s="363"/>
      <c r="G5076" s="2453" t="s">
        <v>47</v>
      </c>
      <c r="H5076" s="2461" t="str">
        <f>$V$4</f>
        <v>2019年度</v>
      </c>
      <c r="I5076" s="2462" t="str">
        <f>$V$5</f>
        <v>2018年度</v>
      </c>
      <c r="J5076" s="355" t="s">
        <v>5343</v>
      </c>
      <c r="K5076" s="291"/>
      <c r="L5076" s="291"/>
      <c r="M5076" s="291"/>
      <c r="S5076" s="364"/>
      <c r="Z5076" s="609" t="s">
        <v>4392</v>
      </c>
      <c r="AA5076" s="609"/>
    </row>
    <row r="5077" spans="1:27" ht="17">
      <c r="A5077" s="2714"/>
      <c r="B5077" s="371">
        <v>101</v>
      </c>
      <c r="C5077" s="371" t="s">
        <v>2791</v>
      </c>
      <c r="D5077" s="2716">
        <f t="shared" ref="D5077:D5082" si="548">IF(OR(G5077="*",G5077="",G5077=0),0,COUNTIF($G$5077:$G$5082,G5077))</f>
        <v>0</v>
      </c>
      <c r="E5077" s="2721">
        <v>1</v>
      </c>
      <c r="F5077" s="294"/>
      <c r="G5077" s="2467" t="s">
        <v>2792</v>
      </c>
      <c r="H5077" s="2275"/>
      <c r="I5077" s="2296"/>
      <c r="J5077" s="291"/>
      <c r="K5077" s="291"/>
      <c r="L5077" s="291"/>
      <c r="M5077" s="291"/>
      <c r="S5077" s="364"/>
      <c r="Z5077" s="609" t="s">
        <v>4392</v>
      </c>
      <c r="AA5077" s="609"/>
    </row>
    <row r="5078" spans="1:27" ht="17">
      <c r="A5078" s="2714"/>
      <c r="B5078" s="371">
        <v>102</v>
      </c>
      <c r="C5078" s="371" t="s">
        <v>2791</v>
      </c>
      <c r="D5078" s="2716">
        <f t="shared" si="548"/>
        <v>0</v>
      </c>
      <c r="E5078" s="2721">
        <v>1</v>
      </c>
      <c r="F5078" s="294"/>
      <c r="G5078" s="2467" t="s">
        <v>2792</v>
      </c>
      <c r="H5078" s="2275"/>
      <c r="I5078" s="2296"/>
      <c r="J5078" s="291"/>
      <c r="K5078" s="291"/>
      <c r="L5078" s="291"/>
      <c r="M5078" s="291"/>
      <c r="S5078" s="364"/>
      <c r="Z5078" s="609" t="s">
        <v>4392</v>
      </c>
      <c r="AA5078" s="609"/>
    </row>
    <row r="5079" spans="1:27" ht="17">
      <c r="A5079" s="2714"/>
      <c r="B5079" s="371">
        <v>103</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7">
      <c r="A5080" s="2714"/>
      <c r="B5080" s="371">
        <v>104</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7">
      <c r="A5081" s="2714"/>
      <c r="B5081" s="371">
        <v>105</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7.5" thickBot="1">
      <c r="A5082" s="2714"/>
      <c r="B5082" s="371"/>
      <c r="C5082" s="371"/>
      <c r="D5082" s="2716">
        <f t="shared" si="548"/>
        <v>1</v>
      </c>
      <c r="E5082" s="2721" t="s">
        <v>2751</v>
      </c>
      <c r="F5082" s="294"/>
      <c r="G5082" s="2234" t="s">
        <v>2752</v>
      </c>
      <c r="H5082" s="2235">
        <f>SUMPRODUCT($E5076:$E5081,H5076:H5081)</f>
        <v>0</v>
      </c>
      <c r="I5082" s="2236">
        <f>SUMPRODUCT($E5076:$E5081,I5076:I5081)</f>
        <v>0</v>
      </c>
      <c r="J5082" s="291"/>
      <c r="K5082" s="291"/>
      <c r="L5082" s="291"/>
      <c r="M5082" s="291"/>
      <c r="S5082" s="364"/>
      <c r="Z5082" s="609" t="s">
        <v>4392</v>
      </c>
      <c r="AA5082" s="609"/>
    </row>
    <row r="5083" spans="1:27" ht="17">
      <c r="A5083" s="2714"/>
      <c r="B5083" s="371"/>
      <c r="C5083" s="371" t="s">
        <v>2755</v>
      </c>
      <c r="D5083" s="371"/>
      <c r="F5083" s="294"/>
      <c r="G5083" s="301"/>
      <c r="H5083" s="315"/>
      <c r="I5083" s="315"/>
      <c r="J5083" s="291"/>
      <c r="K5083" s="291"/>
      <c r="L5083" s="291"/>
      <c r="M5083" s="291"/>
      <c r="S5083" s="364"/>
      <c r="Z5083" s="609" t="s">
        <v>4392</v>
      </c>
      <c r="AA5083" s="609"/>
    </row>
    <row r="5084" spans="1:27" ht="17">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6">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0</v>
      </c>
      <c r="L5085" s="1535" t="str">
        <f>IF($I5085="适用",IF(ROUND(K5084-K5085,2)&gt;=0,IF(K5084&lt;&gt;0,K5085/K5084,""),"#Logical!"),"#N/A")</f>
        <v/>
      </c>
      <c r="M5085" s="301" t="s">
        <v>4257</v>
      </c>
      <c r="N5085" s="2210">
        <f>I5093</f>
        <v>0</v>
      </c>
      <c r="O5085" s="1535"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7">
      <c r="A5087" s="2714"/>
      <c r="B5087" s="371"/>
      <c r="C5087" s="371"/>
      <c r="D5087" s="371"/>
      <c r="E5087" s="586" t="s">
        <v>2749</v>
      </c>
      <c r="F5087" s="363"/>
      <c r="G5087" s="2453" t="s">
        <v>47</v>
      </c>
      <c r="H5087" s="2461" t="str">
        <f>$V$4</f>
        <v>2019年度</v>
      </c>
      <c r="I5087" s="2462" t="str">
        <f>$V$5</f>
        <v>2018年度</v>
      </c>
      <c r="J5087" s="355" t="s">
        <v>5343</v>
      </c>
      <c r="K5087" s="291"/>
      <c r="L5087" s="291"/>
      <c r="M5087" s="291"/>
      <c r="S5087" s="364"/>
      <c r="Z5087" s="609" t="s">
        <v>4394</v>
      </c>
      <c r="AA5087" s="609"/>
    </row>
    <row r="5088" spans="1:27" ht="17">
      <c r="A5088" s="2714"/>
      <c r="B5088" s="371">
        <v>101</v>
      </c>
      <c r="C5088" s="371" t="s">
        <v>2791</v>
      </c>
      <c r="D5088" s="2716">
        <f t="shared" ref="D5088:D5093" si="549">IF(OR(G5088="*",G5088="",G5088=0),0,COUNTIF($G$5088:$G$5093,G5088))</f>
        <v>0</v>
      </c>
      <c r="E5088" s="2721">
        <v>1</v>
      </c>
      <c r="F5088" s="294"/>
      <c r="G5088" s="2467" t="s">
        <v>2792</v>
      </c>
      <c r="H5088" s="2275"/>
      <c r="I5088" s="2296"/>
      <c r="J5088" s="291"/>
      <c r="K5088" s="291"/>
      <c r="L5088" s="291"/>
      <c r="M5088" s="291"/>
      <c r="S5088" s="364"/>
      <c r="Z5088" s="609" t="s">
        <v>4394</v>
      </c>
      <c r="AA5088" s="609"/>
    </row>
    <row r="5089" spans="1:27" ht="17">
      <c r="A5089" s="2714"/>
      <c r="B5089" s="371">
        <v>102</v>
      </c>
      <c r="C5089" s="371" t="s">
        <v>2791</v>
      </c>
      <c r="D5089" s="2716">
        <f t="shared" si="549"/>
        <v>0</v>
      </c>
      <c r="E5089" s="2721">
        <v>1</v>
      </c>
      <c r="F5089" s="294"/>
      <c r="G5089" s="2467" t="s">
        <v>2792</v>
      </c>
      <c r="H5089" s="2275"/>
      <c r="I5089" s="2296"/>
      <c r="J5089" s="291"/>
      <c r="K5089" s="291"/>
      <c r="L5089" s="291"/>
      <c r="M5089" s="291"/>
      <c r="S5089" s="364"/>
      <c r="Z5089" s="609" t="s">
        <v>4394</v>
      </c>
      <c r="AA5089" s="609"/>
    </row>
    <row r="5090" spans="1:27" ht="17">
      <c r="A5090" s="2714"/>
      <c r="B5090" s="371">
        <v>103</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7">
      <c r="A5091" s="2714"/>
      <c r="B5091" s="371">
        <v>104</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7">
      <c r="A5092" s="2714"/>
      <c r="B5092" s="371">
        <v>105</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7.5" thickBot="1">
      <c r="A5093" s="2714"/>
      <c r="B5093" s="371"/>
      <c r="C5093" s="371"/>
      <c r="D5093" s="2716">
        <f t="shared" si="549"/>
        <v>1</v>
      </c>
      <c r="E5093" s="2721" t="s">
        <v>2751</v>
      </c>
      <c r="F5093" s="294"/>
      <c r="G5093" s="2234" t="s">
        <v>2752</v>
      </c>
      <c r="H5093" s="2235">
        <f>SUMPRODUCT($E5087:$E5092,H5087:H5092)</f>
        <v>0</v>
      </c>
      <c r="I5093" s="2236">
        <f>SUMPRODUCT($E5087:$E5092,I5087:I5092)</f>
        <v>0</v>
      </c>
      <c r="J5093" s="291"/>
      <c r="K5093" s="291"/>
      <c r="L5093" s="291"/>
      <c r="M5093" s="291"/>
      <c r="S5093" s="364"/>
      <c r="Z5093" s="609" t="s">
        <v>4394</v>
      </c>
      <c r="AA5093" s="609"/>
    </row>
    <row r="5094" spans="1:27" ht="17">
      <c r="A5094" s="2714"/>
      <c r="B5094" s="371"/>
      <c r="C5094" s="371" t="s">
        <v>2755</v>
      </c>
      <c r="D5094" s="371"/>
      <c r="F5094" s="294"/>
      <c r="G5094" s="301"/>
      <c r="H5094" s="315"/>
      <c r="I5094" s="315"/>
      <c r="J5094" s="291"/>
      <c r="K5094" s="291"/>
      <c r="L5094" s="291"/>
      <c r="M5094" s="291"/>
      <c r="S5094" s="364"/>
      <c r="Z5094" s="609" t="s">
        <v>4394</v>
      </c>
      <c r="AA5094" s="609"/>
    </row>
    <row r="5095" spans="1:27" ht="17">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6">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84"/>
      <c r="L5096" s="315"/>
      <c r="M5096" s="301"/>
      <c r="N5096" s="3084"/>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5813</v>
      </c>
      <c r="G5097" s="371" t="s">
        <v>4396</v>
      </c>
      <c r="H5097" s="371" t="s">
        <v>3472</v>
      </c>
      <c r="I5097" s="371" t="s">
        <v>3473</v>
      </c>
      <c r="J5097" s="291"/>
      <c r="K5097" s="291"/>
      <c r="L5097" s="291"/>
      <c r="M5097" s="291"/>
      <c r="S5097" s="364"/>
      <c r="Z5097" s="609" t="s">
        <v>1995</v>
      </c>
      <c r="AA5097" s="609"/>
    </row>
    <row r="5098" spans="1:27" ht="17">
      <c r="A5098" s="2714"/>
      <c r="B5098" s="371"/>
      <c r="C5098" s="371"/>
      <c r="D5098" s="371"/>
      <c r="E5098" s="2716" t="s">
        <v>2749</v>
      </c>
      <c r="F5098" s="294"/>
      <c r="G5098" s="1503" t="s">
        <v>918</v>
      </c>
      <c r="H5098" s="1501" t="str">
        <f>$V$4</f>
        <v>2019年度</v>
      </c>
      <c r="I5098" s="593" t="str">
        <f>$V$5</f>
        <v>2018年度</v>
      </c>
      <c r="J5098" s="355" t="s">
        <v>5344</v>
      </c>
      <c r="K5098" s="291"/>
      <c r="L5098" s="291"/>
      <c r="M5098" s="291"/>
      <c r="S5098" s="364"/>
      <c r="Z5098" s="609" t="s">
        <v>1995</v>
      </c>
      <c r="AA5098" s="609"/>
    </row>
    <row r="5099" spans="1:27" ht="17">
      <c r="A5099" s="2714"/>
      <c r="B5099" s="371">
        <v>7502</v>
      </c>
      <c r="C5099" s="371"/>
      <c r="D5099" s="2716">
        <f t="shared" ref="D5099:D5116" si="550">IF(OR(G5099="*",G5099="",G5099=0),0,COUNTIF($G$5099:$G$5116,G5099))</f>
        <v>1</v>
      </c>
      <c r="E5099" s="2721">
        <v>1</v>
      </c>
      <c r="F5099" s="294"/>
      <c r="G5099" s="1502" t="str">
        <f t="shared" ref="G5099:G5115" si="551">VLOOKUP($B5099,Sheet_Items,6,0)</f>
        <v>净利润</v>
      </c>
      <c r="H5099" s="1476">
        <f t="shared" ref="H5099:H5115" si="552">VLOOKUP($B5099,Sheet_CF7,4,0)</f>
        <v>-2324.91</v>
      </c>
      <c r="I5099" s="1477">
        <f t="shared" ref="I5099:I5115" si="553">VLOOKUP($B5099,Sheet_CF7,5,0)</f>
        <v>-1714.32</v>
      </c>
      <c r="J5099" s="291"/>
      <c r="K5099" s="291"/>
      <c r="L5099" s="291"/>
      <c r="M5099" s="291"/>
      <c r="S5099" s="364"/>
      <c r="Z5099" s="609" t="s">
        <v>1995</v>
      </c>
      <c r="AA5099" s="609"/>
    </row>
    <row r="5100" spans="1:27" ht="17">
      <c r="A5100" s="2714"/>
      <c r="B5100" s="371">
        <v>7503</v>
      </c>
      <c r="C5100" s="371"/>
      <c r="D5100" s="2716">
        <f t="shared" si="550"/>
        <v>1</v>
      </c>
      <c r="E5100" s="2721">
        <v>1</v>
      </c>
      <c r="F5100" s="294"/>
      <c r="G5100" s="1502" t="str">
        <f>VLOOKUP($B5100,Sheet_Items,6,0)</f>
        <v>加：资产减值准备</v>
      </c>
      <c r="H5100" s="1476">
        <f t="shared" si="552"/>
        <v>0</v>
      </c>
      <c r="I5100" s="1477">
        <f t="shared" si="553"/>
        <v>0</v>
      </c>
      <c r="J5100" s="291"/>
      <c r="K5100" s="291"/>
      <c r="L5100" s="291"/>
      <c r="M5100" s="291"/>
      <c r="S5100" s="364"/>
      <c r="Z5100" s="609" t="s">
        <v>1995</v>
      </c>
      <c r="AA5100" s="609"/>
    </row>
    <row r="5101" spans="1:27" ht="17">
      <c r="A5101" s="2714"/>
      <c r="B5101" s="371">
        <v>7504</v>
      </c>
      <c r="C5101" s="371" t="s">
        <v>2791</v>
      </c>
      <c r="D5101" s="2716">
        <f t="shared" ref="D5101" si="554">IF(OR(G5101="*",G5101="",G5101=0),0,COUNTIF($G$5099:$G$5116,G5101))</f>
        <v>1</v>
      </c>
      <c r="E5101" s="2721">
        <v>1</v>
      </c>
      <c r="F5101" s="294"/>
      <c r="G5101" s="1502" t="str">
        <f t="shared" si="551"/>
        <v>信用减值损失</v>
      </c>
      <c r="H5101" s="1476">
        <f t="shared" si="552"/>
        <v>0</v>
      </c>
      <c r="I5101" s="1477">
        <f t="shared" si="553"/>
        <v>0</v>
      </c>
      <c r="J5101" s="291"/>
      <c r="K5101" s="291"/>
      <c r="L5101" s="291"/>
      <c r="M5101" s="291"/>
      <c r="S5101" s="364"/>
      <c r="Z5101" s="609" t="s">
        <v>1995</v>
      </c>
      <c r="AA5101" s="609"/>
    </row>
    <row r="5102" spans="1:27" ht="39">
      <c r="A5102" s="2714"/>
      <c r="B5102" s="371">
        <v>7505</v>
      </c>
      <c r="C5102" s="371"/>
      <c r="D5102" s="2716">
        <f t="shared" si="550"/>
        <v>1</v>
      </c>
      <c r="E5102" s="2721">
        <v>1</v>
      </c>
      <c r="F5102" s="294"/>
      <c r="G5102" s="1502" t="str">
        <f t="shared" si="551"/>
        <v>固定资产折旧、投资性房地产折旧、油气资产折耗、生产性生物资产折旧</v>
      </c>
      <c r="H5102" s="1476">
        <f t="shared" si="552"/>
        <v>0</v>
      </c>
      <c r="I5102" s="1477">
        <f t="shared" si="553"/>
        <v>0</v>
      </c>
      <c r="J5102" s="291"/>
      <c r="K5102" s="291"/>
      <c r="L5102" s="291"/>
      <c r="M5102" s="291"/>
      <c r="S5102" s="364"/>
      <c r="Z5102" s="609" t="s">
        <v>1995</v>
      </c>
      <c r="AA5102" s="609"/>
    </row>
    <row r="5103" spans="1:27" ht="17">
      <c r="A5103" s="2714"/>
      <c r="B5103" s="371">
        <v>7506</v>
      </c>
      <c r="C5103" s="371"/>
      <c r="D5103" s="2716">
        <f t="shared" si="550"/>
        <v>1</v>
      </c>
      <c r="E5103" s="2721">
        <v>1</v>
      </c>
      <c r="F5103" s="294"/>
      <c r="G5103" s="1502" t="str">
        <f t="shared" si="551"/>
        <v>无形资产摊销</v>
      </c>
      <c r="H5103" s="1476">
        <f t="shared" si="552"/>
        <v>0</v>
      </c>
      <c r="I5103" s="1477">
        <f t="shared" si="553"/>
        <v>0</v>
      </c>
      <c r="J5103" s="291"/>
      <c r="K5103" s="291"/>
      <c r="L5103" s="291"/>
      <c r="M5103" s="291"/>
      <c r="S5103" s="364"/>
      <c r="Z5103" s="609" t="s">
        <v>1995</v>
      </c>
      <c r="AA5103" s="609"/>
    </row>
    <row r="5104" spans="1:27" ht="17">
      <c r="A5104" s="2714"/>
      <c r="B5104" s="371">
        <v>7507</v>
      </c>
      <c r="C5104" s="371"/>
      <c r="D5104" s="2716">
        <f t="shared" si="550"/>
        <v>1</v>
      </c>
      <c r="E5104" s="2721">
        <v>1</v>
      </c>
      <c r="F5104" s="294"/>
      <c r="G5104" s="1502" t="str">
        <f t="shared" si="551"/>
        <v>长期待摊费用摊销</v>
      </c>
      <c r="H5104" s="1476">
        <f t="shared" si="552"/>
        <v>0</v>
      </c>
      <c r="I5104" s="1477">
        <f t="shared" si="553"/>
        <v>0</v>
      </c>
      <c r="J5104" s="291"/>
      <c r="K5104" s="291"/>
      <c r="L5104" s="291"/>
      <c r="M5104" s="291"/>
      <c r="S5104" s="364"/>
      <c r="Z5104" s="609" t="s">
        <v>1995</v>
      </c>
      <c r="AA5104" s="609"/>
    </row>
    <row r="5105" spans="1:27" ht="39">
      <c r="A5105" s="2714"/>
      <c r="B5105" s="371">
        <v>7508</v>
      </c>
      <c r="C5105" s="371"/>
      <c r="D5105" s="2716">
        <f t="shared" si="550"/>
        <v>1</v>
      </c>
      <c r="E5105" s="2721">
        <v>1</v>
      </c>
      <c r="F5105" s="294"/>
      <c r="G5105" s="1502" t="str">
        <f t="shared" si="551"/>
        <v>处置固定资产、无形资产和其他长期资产的损失（收益以“－”号填列）</v>
      </c>
      <c r="H5105" s="1476">
        <f t="shared" si="552"/>
        <v>0</v>
      </c>
      <c r="I5105" s="1477">
        <f t="shared" si="553"/>
        <v>0</v>
      </c>
      <c r="J5105" s="291"/>
      <c r="K5105" s="291"/>
      <c r="L5105" s="291"/>
      <c r="M5105" s="291"/>
      <c r="S5105" s="364"/>
      <c r="Z5105" s="609" t="s">
        <v>1995</v>
      </c>
      <c r="AA5105" s="609"/>
    </row>
    <row r="5106" spans="1:27" ht="26">
      <c r="A5106" s="2714"/>
      <c r="B5106" s="371">
        <v>7509</v>
      </c>
      <c r="C5106" s="371"/>
      <c r="D5106" s="2716">
        <f t="shared" si="550"/>
        <v>1</v>
      </c>
      <c r="E5106" s="2721">
        <v>1</v>
      </c>
      <c r="F5106" s="294"/>
      <c r="G5106" s="1502" t="str">
        <f t="shared" si="551"/>
        <v>固定资产报废损失（收益以“－”号填列）</v>
      </c>
      <c r="H5106" s="1476">
        <f t="shared" si="552"/>
        <v>0</v>
      </c>
      <c r="I5106" s="1477">
        <f t="shared" si="553"/>
        <v>0</v>
      </c>
      <c r="J5106" s="291"/>
      <c r="K5106" s="291"/>
      <c r="L5106" s="291"/>
      <c r="M5106" s="291"/>
      <c r="S5106" s="364"/>
      <c r="Z5106" s="609" t="s">
        <v>1995</v>
      </c>
      <c r="AA5106" s="609"/>
    </row>
    <row r="5107" spans="1:27" ht="26">
      <c r="A5107" s="2714"/>
      <c r="B5107" s="371">
        <v>7510</v>
      </c>
      <c r="C5107" s="371"/>
      <c r="D5107" s="2716">
        <f t="shared" si="550"/>
        <v>1</v>
      </c>
      <c r="E5107" s="2721">
        <v>1</v>
      </c>
      <c r="F5107" s="294"/>
      <c r="G5107" s="1502" t="str">
        <f t="shared" si="551"/>
        <v>公允价值变动损失（收益以“－”号填列）</v>
      </c>
      <c r="H5107" s="1476">
        <f t="shared" si="552"/>
        <v>0</v>
      </c>
      <c r="I5107" s="1477">
        <f t="shared" si="553"/>
        <v>0</v>
      </c>
      <c r="J5107" s="291"/>
      <c r="K5107" s="291"/>
      <c r="L5107" s="291"/>
      <c r="M5107" s="291"/>
      <c r="S5107" s="364"/>
      <c r="Z5107" s="609" t="s">
        <v>1995</v>
      </c>
      <c r="AA5107" s="609"/>
    </row>
    <row r="5108" spans="1:27" ht="26">
      <c r="A5108" s="2714"/>
      <c r="B5108" s="371">
        <v>7511</v>
      </c>
      <c r="C5108" s="371"/>
      <c r="D5108" s="2716">
        <f t="shared" si="550"/>
        <v>1</v>
      </c>
      <c r="E5108" s="2721">
        <v>1</v>
      </c>
      <c r="F5108" s="294"/>
      <c r="G5108" s="1502" t="str">
        <f t="shared" si="551"/>
        <v>财务费用（收益以“－”号填列）</v>
      </c>
      <c r="H5108" s="1476">
        <f t="shared" si="552"/>
        <v>0</v>
      </c>
      <c r="I5108" s="1477">
        <f t="shared" si="553"/>
        <v>0</v>
      </c>
      <c r="J5108" s="291"/>
      <c r="K5108" s="291"/>
      <c r="L5108" s="291"/>
      <c r="M5108" s="291"/>
      <c r="S5108" s="364"/>
      <c r="Z5108" s="609" t="s">
        <v>1995</v>
      </c>
      <c r="AA5108" s="609"/>
    </row>
    <row r="5109" spans="1:27" ht="26">
      <c r="A5109" s="2714"/>
      <c r="B5109" s="371">
        <v>7512</v>
      </c>
      <c r="C5109" s="371"/>
      <c r="D5109" s="2716">
        <f t="shared" si="550"/>
        <v>1</v>
      </c>
      <c r="E5109" s="2721">
        <v>1</v>
      </c>
      <c r="F5109" s="294"/>
      <c r="G5109" s="1502" t="str">
        <f t="shared" si="551"/>
        <v>投资损失（收益以“－”号填列）</v>
      </c>
      <c r="H5109" s="1476">
        <f t="shared" si="552"/>
        <v>0</v>
      </c>
      <c r="I5109" s="1477">
        <f t="shared" si="553"/>
        <v>0</v>
      </c>
      <c r="J5109" s="291"/>
      <c r="K5109" s="291"/>
      <c r="L5109" s="291"/>
      <c r="M5109" s="291"/>
      <c r="S5109" s="364"/>
      <c r="Z5109" s="609" t="s">
        <v>1995</v>
      </c>
      <c r="AA5109" s="609"/>
    </row>
    <row r="5110" spans="1:27" ht="26">
      <c r="A5110" s="2714"/>
      <c r="B5110" s="371">
        <v>7515</v>
      </c>
      <c r="C5110" s="371"/>
      <c r="D5110" s="2716">
        <f t="shared" si="550"/>
        <v>1</v>
      </c>
      <c r="E5110" s="2721">
        <v>1</v>
      </c>
      <c r="F5110" s="294"/>
      <c r="G5110" s="1502" t="str">
        <f t="shared" si="551"/>
        <v>递延所得税资产减少（增加以“－”号填列）</v>
      </c>
      <c r="H5110" s="1476">
        <f t="shared" si="552"/>
        <v>0</v>
      </c>
      <c r="I5110" s="1477">
        <f t="shared" si="553"/>
        <v>0</v>
      </c>
      <c r="J5110" s="291"/>
      <c r="K5110" s="291"/>
      <c r="L5110" s="291"/>
      <c r="M5110" s="291"/>
      <c r="S5110" s="364"/>
      <c r="Z5110" s="609" t="s">
        <v>1995</v>
      </c>
      <c r="AA5110" s="609"/>
    </row>
    <row r="5111" spans="1:27" ht="26">
      <c r="A5111" s="2714"/>
      <c r="B5111" s="371">
        <v>7516</v>
      </c>
      <c r="C5111" s="371"/>
      <c r="D5111" s="2716">
        <f t="shared" si="550"/>
        <v>1</v>
      </c>
      <c r="E5111" s="2721">
        <v>1</v>
      </c>
      <c r="F5111" s="294"/>
      <c r="G5111" s="1502" t="str">
        <f t="shared" si="551"/>
        <v>递延所得税负债增加（减少以“－”号填列）</v>
      </c>
      <c r="H5111" s="1476">
        <f t="shared" si="552"/>
        <v>0</v>
      </c>
      <c r="I5111" s="1477">
        <f t="shared" si="553"/>
        <v>0</v>
      </c>
      <c r="J5111" s="291"/>
      <c r="K5111" s="291"/>
      <c r="L5111" s="291"/>
      <c r="M5111" s="291"/>
      <c r="S5111" s="364"/>
      <c r="Z5111" s="609" t="s">
        <v>1995</v>
      </c>
      <c r="AA5111" s="609"/>
    </row>
    <row r="5112" spans="1:27" ht="26">
      <c r="A5112" s="2714"/>
      <c r="B5112" s="371">
        <v>7517</v>
      </c>
      <c r="C5112" s="371"/>
      <c r="D5112" s="2716">
        <f t="shared" si="550"/>
        <v>1</v>
      </c>
      <c r="E5112" s="2721">
        <v>1</v>
      </c>
      <c r="F5112" s="294"/>
      <c r="G5112" s="1502" t="str">
        <f t="shared" si="551"/>
        <v>存货的减少（增加以“－”号填列）</v>
      </c>
      <c r="H5112" s="1476">
        <f t="shared" si="552"/>
        <v>0</v>
      </c>
      <c r="I5112" s="1477">
        <f t="shared" si="553"/>
        <v>0</v>
      </c>
      <c r="J5112" s="291"/>
      <c r="K5112" s="291"/>
      <c r="L5112" s="291"/>
      <c r="M5112" s="291"/>
      <c r="S5112" s="364"/>
      <c r="Z5112" s="609" t="s">
        <v>1995</v>
      </c>
      <c r="AA5112" s="609"/>
    </row>
    <row r="5113" spans="1:27" ht="26">
      <c r="A5113" s="2714"/>
      <c r="B5113" s="371">
        <v>7518</v>
      </c>
      <c r="C5113" s="371"/>
      <c r="D5113" s="2716">
        <f t="shared" si="550"/>
        <v>1</v>
      </c>
      <c r="E5113" s="2721">
        <v>1</v>
      </c>
      <c r="F5113" s="294"/>
      <c r="G5113" s="1502" t="str">
        <f t="shared" si="551"/>
        <v>经营性应收项目的减少（增加以“－”号填列）</v>
      </c>
      <c r="H5113" s="1476">
        <f t="shared" si="552"/>
        <v>0</v>
      </c>
      <c r="I5113" s="1477">
        <f t="shared" si="553"/>
        <v>0</v>
      </c>
      <c r="J5113" s="291"/>
      <c r="K5113" s="291"/>
      <c r="L5113" s="291"/>
      <c r="M5113" s="291"/>
      <c r="S5113" s="364"/>
      <c r="Z5113" s="609" t="s">
        <v>1995</v>
      </c>
      <c r="AA5113" s="609"/>
    </row>
    <row r="5114" spans="1:27" ht="26">
      <c r="A5114" s="2714"/>
      <c r="B5114" s="371">
        <v>7519</v>
      </c>
      <c r="C5114" s="371"/>
      <c r="D5114" s="2716">
        <f t="shared" si="550"/>
        <v>1</v>
      </c>
      <c r="E5114" s="2721">
        <v>1</v>
      </c>
      <c r="F5114" s="294"/>
      <c r="G5114" s="1502" t="str">
        <f t="shared" si="551"/>
        <v>经营性应付项目的增加（减少以“－”号填列）</v>
      </c>
      <c r="H5114" s="1476">
        <f t="shared" si="552"/>
        <v>0</v>
      </c>
      <c r="I5114" s="1477">
        <f t="shared" si="553"/>
        <v>19520</v>
      </c>
      <c r="J5114" s="291"/>
      <c r="K5114" s="291"/>
      <c r="L5114" s="291"/>
      <c r="M5114" s="291"/>
      <c r="S5114" s="364"/>
      <c r="Z5114" s="609" t="s">
        <v>1995</v>
      </c>
      <c r="AA5114" s="609"/>
    </row>
    <row r="5115" spans="1:27" ht="17">
      <c r="A5115" s="2714"/>
      <c r="B5115" s="371">
        <v>7523</v>
      </c>
      <c r="C5115" s="371"/>
      <c r="D5115" s="2716">
        <f t="shared" si="550"/>
        <v>1</v>
      </c>
      <c r="E5115" s="2721">
        <v>1</v>
      </c>
      <c r="F5115" s="294"/>
      <c r="G5115" s="1502" t="str">
        <f t="shared" si="551"/>
        <v>其他</v>
      </c>
      <c r="H5115" s="1476">
        <f t="shared" si="552"/>
        <v>0</v>
      </c>
      <c r="I5115" s="1477">
        <f t="shared" si="553"/>
        <v>0</v>
      </c>
      <c r="J5115" s="343"/>
      <c r="K5115" s="291"/>
      <c r="L5115" s="291"/>
      <c r="M5115" s="291"/>
      <c r="S5115" s="364"/>
      <c r="Z5115" s="609" t="s">
        <v>1995</v>
      </c>
      <c r="AA5115" s="609"/>
    </row>
    <row r="5116" spans="1:27" ht="26.5" thickBot="1">
      <c r="A5116" s="2714"/>
      <c r="B5116" s="371"/>
      <c r="C5116" s="371"/>
      <c r="D5116" s="2716">
        <f t="shared" si="550"/>
        <v>1</v>
      </c>
      <c r="E5116" s="2721" t="s">
        <v>3032</v>
      </c>
      <c r="F5116" s="294"/>
      <c r="G5116" s="374" t="s">
        <v>2247</v>
      </c>
      <c r="H5116" s="1478">
        <f>SUMPRODUCT($E5098:$E5115,H5098:H5115)</f>
        <v>-2324.91</v>
      </c>
      <c r="I5116" s="1479">
        <f>SUMPRODUCT($E5098:$E5115,I5098:I5115)</f>
        <v>17805.68</v>
      </c>
      <c r="J5116" s="291"/>
      <c r="K5116" s="291"/>
      <c r="L5116" s="291"/>
      <c r="M5116" s="291"/>
      <c r="S5116" s="364"/>
      <c r="Z5116" s="609" t="s">
        <v>1995</v>
      </c>
      <c r="AA5116" s="609"/>
    </row>
    <row r="5117" spans="1:27" ht="26.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7">
      <c r="A5118" s="2714"/>
      <c r="B5118" s="371"/>
      <c r="C5118" s="371" t="s">
        <v>2755</v>
      </c>
      <c r="D5118" s="371"/>
      <c r="F5118" s="294"/>
      <c r="G5118" s="301"/>
      <c r="H5118" s="315"/>
      <c r="I5118" s="315"/>
      <c r="J5118" s="291"/>
      <c r="K5118" s="291"/>
      <c r="L5118" s="291"/>
      <c r="M5118" s="291"/>
      <c r="S5118" s="364"/>
      <c r="Z5118" s="609" t="s">
        <v>1995</v>
      </c>
      <c r="AA5118" s="609"/>
    </row>
    <row r="5119" spans="1:27" ht="26">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84"/>
      <c r="L5119" s="315"/>
      <c r="M5119" s="301"/>
      <c r="N5119" s="3084"/>
      <c r="O5119" s="315"/>
      <c r="P5119" s="301"/>
      <c r="S5119" s="364"/>
      <c r="Z5119" s="609" t="s">
        <v>1995</v>
      </c>
      <c r="AA5119" s="609"/>
    </row>
    <row r="5120" spans="1:27" ht="0.75" customHeight="1" thickBot="1">
      <c r="A5120" s="2714"/>
      <c r="B5120" s="371"/>
      <c r="C5120" s="371"/>
      <c r="D5120" s="371"/>
      <c r="F5120" s="294" t="s">
        <v>5813</v>
      </c>
      <c r="G5120" s="294" t="s">
        <v>4398</v>
      </c>
      <c r="H5120" s="294" t="s">
        <v>3472</v>
      </c>
      <c r="I5120" s="294" t="s">
        <v>3473</v>
      </c>
      <c r="J5120" s="291"/>
      <c r="K5120" s="291"/>
      <c r="L5120" s="291"/>
      <c r="M5120" s="291"/>
      <c r="S5120" s="364"/>
      <c r="Z5120" s="609" t="s">
        <v>1995</v>
      </c>
      <c r="AA5120" s="609"/>
    </row>
    <row r="5121" spans="1:27" ht="17">
      <c r="A5121" s="2714"/>
      <c r="B5121" s="371"/>
      <c r="C5121" s="371"/>
      <c r="D5121" s="371"/>
      <c r="E5121" s="2716" t="s">
        <v>2749</v>
      </c>
      <c r="F5121" s="294"/>
      <c r="G5121" s="1503" t="s">
        <v>918</v>
      </c>
      <c r="H5121" s="1501" t="str">
        <f>$V$4</f>
        <v>2019年度</v>
      </c>
      <c r="I5121" s="593" t="str">
        <f>$V$5</f>
        <v>2018年度</v>
      </c>
      <c r="J5121" s="355" t="s">
        <v>5344</v>
      </c>
      <c r="K5121" s="291"/>
      <c r="L5121" s="291"/>
      <c r="M5121" s="291"/>
      <c r="S5121" s="364"/>
      <c r="Z5121" s="609" t="s">
        <v>1995</v>
      </c>
      <c r="AA5121" s="609"/>
    </row>
    <row r="5122" spans="1:27" ht="17">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26">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7">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7">
      <c r="A5126" s="2714"/>
      <c r="B5126" s="371"/>
      <c r="C5126" s="371" t="s">
        <v>2755</v>
      </c>
      <c r="D5126" s="371"/>
      <c r="F5126" s="294"/>
      <c r="G5126" s="301"/>
      <c r="H5126" s="315"/>
      <c r="I5126" s="315"/>
      <c r="J5126" s="291"/>
      <c r="K5126" s="291"/>
      <c r="L5126" s="291"/>
      <c r="M5126" s="291"/>
      <c r="S5126" s="364"/>
      <c r="Z5126" s="609" t="s">
        <v>1995</v>
      </c>
      <c r="AA5126" s="609"/>
    </row>
    <row r="5127" spans="1:27" ht="26">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84"/>
      <c r="L5127" s="315"/>
      <c r="M5127" s="301"/>
      <c r="N5127" s="3084"/>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5813</v>
      </c>
      <c r="G5128" s="304" t="s">
        <v>4399</v>
      </c>
      <c r="H5128" s="304" t="s">
        <v>3472</v>
      </c>
      <c r="I5128" s="304" t="s">
        <v>3473</v>
      </c>
      <c r="J5128" s="291"/>
      <c r="K5128" s="291"/>
      <c r="L5128" s="291"/>
      <c r="M5128" s="291"/>
      <c r="S5128" s="364"/>
      <c r="Z5128" s="609" t="s">
        <v>1995</v>
      </c>
      <c r="AA5128" s="609"/>
    </row>
    <row r="5129" spans="1:27" ht="17">
      <c r="A5129" s="2714"/>
      <c r="B5129" s="371"/>
      <c r="C5129" s="371"/>
      <c r="D5129" s="371"/>
      <c r="E5129" s="2716" t="s">
        <v>2749</v>
      </c>
      <c r="F5129" s="294"/>
      <c r="G5129" s="378" t="s">
        <v>918</v>
      </c>
      <c r="H5129" s="398" t="str">
        <f>$V$4</f>
        <v>2019年度</v>
      </c>
      <c r="I5129" s="511" t="str">
        <f>$V$5</f>
        <v>2018年度</v>
      </c>
      <c r="J5129" s="355" t="s">
        <v>5344</v>
      </c>
      <c r="K5129" s="291"/>
      <c r="L5129" s="291"/>
      <c r="M5129" s="291"/>
      <c r="S5129" s="364"/>
      <c r="Z5129" s="609" t="s">
        <v>1995</v>
      </c>
      <c r="AA5129" s="609"/>
    </row>
    <row r="5130" spans="1:27" ht="17">
      <c r="A5130" s="2714"/>
      <c r="B5130" s="371">
        <v>7535</v>
      </c>
      <c r="C5130" s="371"/>
      <c r="D5130" s="2716">
        <f>IF(OR(G5130="*",G5130="",G5130=0),0,COUNTIF($G$5130:$G$5134,G5130))</f>
        <v>1</v>
      </c>
      <c r="E5130" s="2721">
        <v>1</v>
      </c>
      <c r="F5130" s="294"/>
      <c r="G5130" s="380" t="str">
        <f>VLOOKUP($B5130,Sheet_Items,6,0)</f>
        <v>现金的期末余额</v>
      </c>
      <c r="H5130" s="383">
        <f>VLOOKUP($B5130,Sheet_CF7,4,0)</f>
        <v>15480.77</v>
      </c>
      <c r="I5130" s="401">
        <f>VLOOKUP($B5130,Sheet_CF7,5,0)</f>
        <v>17805.68</v>
      </c>
      <c r="J5130" s="291"/>
      <c r="K5130" s="291"/>
      <c r="L5130" s="291"/>
      <c r="M5130" s="291"/>
      <c r="S5130" s="364"/>
      <c r="Z5130" s="609" t="s">
        <v>1995</v>
      </c>
      <c r="AA5130" s="609"/>
    </row>
    <row r="5131" spans="1:27" ht="17">
      <c r="A5131" s="2714"/>
      <c r="B5131" s="371">
        <v>7536</v>
      </c>
      <c r="C5131" s="371"/>
      <c r="D5131" s="2716">
        <f>IF(OR(G5131="*",G5131="",G5131=0),0,COUNTIF($G$5130:$G$5134,G5131))</f>
        <v>1</v>
      </c>
      <c r="E5131" s="2721">
        <v>-1</v>
      </c>
      <c r="F5131" s="294"/>
      <c r="G5131" s="380" t="str">
        <f>VLOOKUP($B5131,Sheet_Items,6,0)</f>
        <v>减：现金的年初余额</v>
      </c>
      <c r="H5131" s="383">
        <f>VLOOKUP($B5131,Sheet_CF7,4,0)</f>
        <v>17805.68</v>
      </c>
      <c r="I5131" s="401">
        <f>VLOOKUP($B5131,Sheet_CF7,5,0)</f>
        <v>0</v>
      </c>
      <c r="J5131" s="291"/>
      <c r="K5131" s="291"/>
      <c r="L5131" s="291"/>
      <c r="M5131" s="291"/>
      <c r="S5131" s="364"/>
      <c r="Z5131" s="609" t="s">
        <v>1995</v>
      </c>
      <c r="AA5131" s="609"/>
    </row>
    <row r="5132" spans="1:27" ht="17">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7">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7.5" thickBot="1">
      <c r="A5134" s="2714"/>
      <c r="B5134" s="371"/>
      <c r="C5134" s="371"/>
      <c r="D5134" s="2716">
        <f>IF(OR(G5134="*",G5134="",G5134=0),0,COUNTIF($G$5130:$G$5134,G5134))</f>
        <v>1</v>
      </c>
      <c r="E5134" s="2721" t="s">
        <v>3032</v>
      </c>
      <c r="F5134" s="294"/>
      <c r="G5134" s="403" t="s">
        <v>2269</v>
      </c>
      <c r="H5134" s="503">
        <f>SUMPRODUCT($E5129:$E5133,H5129:H5133)</f>
        <v>-2324.91</v>
      </c>
      <c r="I5134" s="515">
        <f>SUMPRODUCT($E5129:$E5133,I5129:I5133)</f>
        <v>17805.68</v>
      </c>
      <c r="J5134" s="291"/>
      <c r="K5134" s="291"/>
      <c r="L5134" s="291"/>
      <c r="M5134" s="291"/>
      <c r="S5134" s="364"/>
      <c r="Z5134" s="609" t="s">
        <v>1995</v>
      </c>
      <c r="AA5134" s="609"/>
    </row>
    <row r="5135" spans="1:27" ht="17">
      <c r="A5135" s="2714"/>
      <c r="B5135" s="371"/>
      <c r="C5135" s="371" t="s">
        <v>2755</v>
      </c>
      <c r="D5135" s="371"/>
      <c r="F5135" s="294"/>
      <c r="G5135" s="301"/>
      <c r="H5135" s="349"/>
      <c r="I5135" s="349"/>
      <c r="J5135" s="291"/>
      <c r="K5135" s="291"/>
      <c r="L5135" s="291"/>
      <c r="M5135" s="291"/>
      <c r="S5135" s="364"/>
      <c r="Z5135" s="609" t="s">
        <v>1995</v>
      </c>
      <c r="AA5135" s="609"/>
    </row>
    <row r="5136" spans="1:27" ht="26">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84"/>
      <c r="L5136" s="315"/>
      <c r="M5136" s="301"/>
      <c r="N5136" s="3084"/>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7">
      <c r="A5138" s="2714"/>
      <c r="B5138" s="371"/>
      <c r="C5138" s="371"/>
      <c r="D5138" s="371"/>
      <c r="E5138" s="2716" t="s">
        <v>2749</v>
      </c>
      <c r="F5138" s="294"/>
      <c r="G5138" s="2613" t="s">
        <v>47</v>
      </c>
      <c r="H5138" s="2614" t="s">
        <v>4242</v>
      </c>
      <c r="I5138" s="355" t="s">
        <v>5344</v>
      </c>
      <c r="J5138" s="291"/>
      <c r="K5138" s="291"/>
      <c r="L5138" s="291"/>
      <c r="M5138" s="291"/>
      <c r="S5138" s="364"/>
      <c r="Z5138" s="609" t="s">
        <v>1995</v>
      </c>
      <c r="AA5138" s="609"/>
    </row>
    <row r="5139" spans="1:27" ht="26">
      <c r="A5139" s="2714"/>
      <c r="B5139" s="371">
        <v>101</v>
      </c>
      <c r="C5139" s="371"/>
      <c r="D5139" s="2716">
        <f t="shared" ref="D5139:D5144" si="555">IF(OR(G5139="*",G5139="",G5139=0),0,COUNTIF($G$5139:$G$5144,G5139))</f>
        <v>1</v>
      </c>
      <c r="E5139" s="2721">
        <v>1</v>
      </c>
      <c r="F5139" s="294"/>
      <c r="G5139" s="380" t="s">
        <v>4401</v>
      </c>
      <c r="H5139" s="401"/>
      <c r="I5139" s="291"/>
      <c r="J5139" s="291"/>
      <c r="K5139" s="291"/>
      <c r="L5139" s="291"/>
      <c r="M5139" s="291"/>
      <c r="S5139" s="364"/>
      <c r="Z5139" s="609" t="s">
        <v>1995</v>
      </c>
      <c r="AA5139" s="609"/>
    </row>
    <row r="5140" spans="1:27" ht="26">
      <c r="A5140" s="2714"/>
      <c r="B5140" s="371">
        <v>102</v>
      </c>
      <c r="C5140" s="371"/>
      <c r="D5140" s="2716">
        <f t="shared" si="555"/>
        <v>1</v>
      </c>
      <c r="E5140" s="2721">
        <v>-1</v>
      </c>
      <c r="F5140" s="294"/>
      <c r="G5140" s="380" t="s">
        <v>4402</v>
      </c>
      <c r="H5140" s="401"/>
      <c r="I5140" s="291"/>
      <c r="J5140" s="291"/>
      <c r="K5140" s="291"/>
      <c r="L5140" s="291"/>
      <c r="M5140" s="291"/>
      <c r="S5140" s="364"/>
      <c r="Z5140" s="609" t="s">
        <v>1995</v>
      </c>
      <c r="AA5140" s="609"/>
    </row>
    <row r="5141" spans="1:27" ht="17">
      <c r="A5141" s="2714"/>
      <c r="B5141" s="371">
        <v>103</v>
      </c>
      <c r="C5141" s="371" t="s">
        <v>2791</v>
      </c>
      <c r="D5141" s="2716">
        <f t="shared" si="555"/>
        <v>0</v>
      </c>
      <c r="E5141" s="2721">
        <v>-1</v>
      </c>
      <c r="F5141" s="294"/>
      <c r="G5141" s="409" t="s">
        <v>2792</v>
      </c>
      <c r="H5141" s="401"/>
      <c r="I5141" s="291"/>
      <c r="J5141" s="291"/>
      <c r="K5141" s="291"/>
      <c r="L5141" s="291"/>
      <c r="M5141" s="291"/>
      <c r="S5141" s="364"/>
      <c r="Z5141" s="609" t="s">
        <v>1995</v>
      </c>
      <c r="AA5141" s="609"/>
    </row>
    <row r="5142" spans="1:27" ht="39">
      <c r="A5142" s="2714"/>
      <c r="B5142" s="371">
        <v>104</v>
      </c>
      <c r="C5142" s="371"/>
      <c r="D5142" s="2716">
        <f t="shared" si="555"/>
        <v>1</v>
      </c>
      <c r="E5142" s="2721">
        <v>1</v>
      </c>
      <c r="F5142" s="294"/>
      <c r="G5142" s="380" t="s">
        <v>4403</v>
      </c>
      <c r="H5142" s="401"/>
      <c r="I5142" s="291"/>
      <c r="J5142" s="291"/>
      <c r="K5142" s="291"/>
      <c r="L5142" s="291"/>
      <c r="M5142" s="291"/>
      <c r="S5142" s="364"/>
      <c r="Z5142" s="609" t="s">
        <v>1995</v>
      </c>
      <c r="AA5142" s="609"/>
    </row>
    <row r="5143" spans="1:27" ht="17">
      <c r="A5143" s="2714"/>
      <c r="B5143" s="371">
        <v>105</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17.5" thickBot="1">
      <c r="A5144" s="2714"/>
      <c r="B5144" s="371"/>
      <c r="C5144" s="371"/>
      <c r="D5144" s="2716">
        <f t="shared" si="555"/>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7">
      <c r="A5145" s="2714"/>
      <c r="B5145" s="371"/>
      <c r="C5145" s="371" t="s">
        <v>2755</v>
      </c>
      <c r="D5145" s="371"/>
      <c r="F5145" s="294"/>
      <c r="G5145" s="301"/>
      <c r="H5145" s="315"/>
      <c r="I5145" s="349"/>
      <c r="J5145" s="291"/>
      <c r="K5145" s="291"/>
      <c r="L5145" s="291"/>
      <c r="M5145" s="291"/>
      <c r="S5145" s="364"/>
      <c r="Z5145" s="609" t="s">
        <v>1995</v>
      </c>
      <c r="AA5145" s="609"/>
    </row>
    <row r="5146" spans="1:27" ht="26">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84"/>
      <c r="L5146" s="315"/>
      <c r="M5146" s="301"/>
      <c r="N5146" s="3084"/>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7">
      <c r="A5148" s="2714"/>
      <c r="B5148" s="371"/>
      <c r="C5148" s="371"/>
      <c r="D5148" s="371"/>
      <c r="E5148" s="2716" t="s">
        <v>2749</v>
      </c>
      <c r="F5148" s="294"/>
      <c r="G5148" s="2613" t="s">
        <v>47</v>
      </c>
      <c r="H5148" s="2614" t="s">
        <v>4242</v>
      </c>
      <c r="I5148" s="355" t="s">
        <v>5344</v>
      </c>
      <c r="J5148" s="291"/>
      <c r="K5148" s="291"/>
      <c r="L5148" s="291"/>
      <c r="M5148" s="291"/>
      <c r="S5148" s="364"/>
      <c r="Z5148" s="609" t="s">
        <v>1995</v>
      </c>
      <c r="AA5148" s="609"/>
    </row>
    <row r="5149" spans="1:27" ht="26">
      <c r="A5149" s="2714"/>
      <c r="B5149" s="371">
        <v>101</v>
      </c>
      <c r="C5149" s="371"/>
      <c r="D5149" s="2716">
        <f t="shared" ref="D5149:D5154" si="556">IF(OR(G5149="*",G5149="",G5149=0),0,COUNTIF($G$5149:$G$5154,G5149))</f>
        <v>1</v>
      </c>
      <c r="E5149" s="2721">
        <v>1</v>
      </c>
      <c r="F5149" s="294"/>
      <c r="G5149" s="380" t="s">
        <v>4406</v>
      </c>
      <c r="H5149" s="401"/>
      <c r="I5149" s="291"/>
      <c r="J5149" s="291"/>
      <c r="K5149" s="291"/>
      <c r="L5149" s="291"/>
      <c r="M5149" s="291"/>
      <c r="S5149" s="364"/>
      <c r="Z5149" s="609" t="s">
        <v>1995</v>
      </c>
      <c r="AA5149" s="609"/>
    </row>
    <row r="5150" spans="1:27" ht="26">
      <c r="A5150" s="2714"/>
      <c r="B5150" s="371">
        <v>102</v>
      </c>
      <c r="C5150" s="371"/>
      <c r="D5150" s="2716">
        <f t="shared" si="556"/>
        <v>1</v>
      </c>
      <c r="E5150" s="2721">
        <v>-1</v>
      </c>
      <c r="F5150" s="294"/>
      <c r="G5150" s="380" t="s">
        <v>4407</v>
      </c>
      <c r="H5150" s="401"/>
      <c r="I5150" s="291"/>
      <c r="J5150" s="291"/>
      <c r="K5150" s="291"/>
      <c r="L5150" s="291"/>
      <c r="M5150" s="291"/>
      <c r="S5150" s="364"/>
      <c r="Z5150" s="609" t="s">
        <v>1995</v>
      </c>
      <c r="AA5150" s="609"/>
    </row>
    <row r="5151" spans="1:27" ht="17">
      <c r="A5151" s="2714"/>
      <c r="B5151" s="371">
        <v>103</v>
      </c>
      <c r="C5151" s="371" t="s">
        <v>2791</v>
      </c>
      <c r="D5151" s="2716">
        <f t="shared" si="556"/>
        <v>0</v>
      </c>
      <c r="E5151" s="2721">
        <v>-1</v>
      </c>
      <c r="F5151" s="294"/>
      <c r="G5151" s="409" t="s">
        <v>2792</v>
      </c>
      <c r="H5151" s="401"/>
      <c r="I5151" s="291"/>
      <c r="J5151" s="291"/>
      <c r="K5151" s="291"/>
      <c r="L5151" s="291"/>
      <c r="M5151" s="291"/>
      <c r="S5151" s="364"/>
      <c r="Z5151" s="609" t="s">
        <v>1995</v>
      </c>
      <c r="AA5151" s="609"/>
    </row>
    <row r="5152" spans="1:27" ht="39">
      <c r="A5152" s="2714"/>
      <c r="B5152" s="371">
        <v>104</v>
      </c>
      <c r="C5152" s="371"/>
      <c r="D5152" s="2716">
        <f t="shared" si="556"/>
        <v>1</v>
      </c>
      <c r="E5152" s="2721">
        <v>1</v>
      </c>
      <c r="F5152" s="294"/>
      <c r="G5152" s="380" t="s">
        <v>4408</v>
      </c>
      <c r="H5152" s="401"/>
      <c r="I5152" s="291"/>
      <c r="J5152" s="291"/>
      <c r="K5152" s="291"/>
      <c r="L5152" s="291"/>
      <c r="M5152" s="291"/>
      <c r="S5152" s="364"/>
      <c r="Z5152" s="609" t="s">
        <v>1995</v>
      </c>
      <c r="AA5152" s="609"/>
    </row>
    <row r="5153" spans="1:27" ht="17">
      <c r="A5153" s="2714"/>
      <c r="B5153" s="371">
        <v>105</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17.5" thickBot="1">
      <c r="A5154" s="2714"/>
      <c r="B5154" s="371"/>
      <c r="C5154" s="371"/>
      <c r="D5154" s="2716">
        <f t="shared" si="556"/>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7">
      <c r="A5155" s="2714"/>
      <c r="B5155" s="371"/>
      <c r="C5155" s="371" t="s">
        <v>2755</v>
      </c>
      <c r="D5155" s="371"/>
      <c r="F5155" s="294"/>
      <c r="G5155" s="301"/>
      <c r="H5155" s="315"/>
      <c r="I5155" s="349"/>
      <c r="J5155" s="291"/>
      <c r="K5155" s="291"/>
      <c r="L5155" s="291"/>
      <c r="M5155" s="291"/>
      <c r="S5155" s="364"/>
      <c r="Z5155" s="609" t="s">
        <v>1995</v>
      </c>
      <c r="AA5155" s="609"/>
    </row>
    <row r="5156" spans="1:27" ht="26">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84"/>
      <c r="L5156" s="315"/>
      <c r="M5156" s="301"/>
      <c r="N5156" s="3084"/>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26">
      <c r="A5158" s="2714"/>
      <c r="B5158" s="371"/>
      <c r="C5158" s="371"/>
      <c r="D5158" s="371"/>
      <c r="E5158" s="2716" t="s">
        <v>2749</v>
      </c>
      <c r="F5158" s="294"/>
      <c r="G5158" s="378" t="s">
        <v>47</v>
      </c>
      <c r="H5158" s="2473" t="str">
        <f>$V$2</f>
        <v>2019年12月31日</v>
      </c>
      <c r="I5158" s="1456" t="str">
        <f>$V$3</f>
        <v>2018年12月31日</v>
      </c>
      <c r="J5158" s="355" t="s">
        <v>5344</v>
      </c>
      <c r="K5158" s="291"/>
      <c r="L5158" s="291"/>
      <c r="M5158" s="291"/>
      <c r="S5158" s="364"/>
      <c r="Z5158" s="609" t="s">
        <v>1995</v>
      </c>
      <c r="AA5158" s="609"/>
    </row>
    <row r="5159" spans="1:27" ht="17">
      <c r="A5159" s="2714"/>
      <c r="B5159" s="371">
        <v>101</v>
      </c>
      <c r="C5159" s="371" t="s">
        <v>2793</v>
      </c>
      <c r="D5159" s="2716">
        <f t="shared" ref="D5159:D5170" si="557">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7">
      <c r="A5160" s="2714"/>
      <c r="B5160" s="371">
        <v>101.001</v>
      </c>
      <c r="C5160" s="371"/>
      <c r="D5160" s="2716">
        <f t="shared" si="557"/>
        <v>1</v>
      </c>
      <c r="E5160" s="2721" t="s">
        <v>4411</v>
      </c>
      <c r="F5160" s="294"/>
      <c r="G5160" s="380" t="s">
        <v>4412</v>
      </c>
      <c r="H5160" s="383"/>
      <c r="I5160" s="401"/>
      <c r="J5160" s="291"/>
      <c r="K5160" s="291"/>
      <c r="L5160" s="291"/>
      <c r="M5160" s="291"/>
      <c r="S5160" s="364"/>
      <c r="Z5160" s="609" t="s">
        <v>1995</v>
      </c>
      <c r="AA5160" s="609"/>
    </row>
    <row r="5161" spans="1:27" ht="17">
      <c r="A5161" s="2714"/>
      <c r="B5161" s="371">
        <v>101.002</v>
      </c>
      <c r="C5161" s="371"/>
      <c r="D5161" s="2716">
        <f t="shared" si="557"/>
        <v>1</v>
      </c>
      <c r="E5161" s="2721" t="s">
        <v>4411</v>
      </c>
      <c r="F5161" s="294"/>
      <c r="G5161" s="380" t="s">
        <v>4413</v>
      </c>
      <c r="H5161" s="383"/>
      <c r="I5161" s="401"/>
      <c r="J5161" s="291"/>
      <c r="K5161" s="291"/>
      <c r="L5161" s="291"/>
      <c r="M5161" s="291"/>
      <c r="S5161" s="364"/>
      <c r="Z5161" s="609" t="s">
        <v>1995</v>
      </c>
      <c r="AA5161" s="609"/>
    </row>
    <row r="5162" spans="1:27" ht="26">
      <c r="A5162" s="2714"/>
      <c r="B5162" s="371">
        <v>101.003</v>
      </c>
      <c r="C5162" s="371"/>
      <c r="D5162" s="2716">
        <f t="shared" si="557"/>
        <v>1</v>
      </c>
      <c r="E5162" s="2721" t="s">
        <v>4411</v>
      </c>
      <c r="F5162" s="294"/>
      <c r="G5162" s="380" t="s">
        <v>4414</v>
      </c>
      <c r="H5162" s="383"/>
      <c r="I5162" s="401"/>
      <c r="J5162" s="291"/>
      <c r="K5162" s="291"/>
      <c r="L5162" s="291"/>
      <c r="M5162" s="291"/>
      <c r="S5162" s="364"/>
      <c r="Z5162" s="609" t="s">
        <v>1995</v>
      </c>
      <c r="AA5162" s="609"/>
    </row>
    <row r="5163" spans="1:27" ht="26">
      <c r="A5163" s="2714"/>
      <c r="B5163" s="371">
        <v>101.004</v>
      </c>
      <c r="C5163" s="371"/>
      <c r="D5163" s="2716">
        <f t="shared" si="557"/>
        <v>1</v>
      </c>
      <c r="E5163" s="2721" t="s">
        <v>4411</v>
      </c>
      <c r="F5163" s="294"/>
      <c r="G5163" s="380" t="s">
        <v>4415</v>
      </c>
      <c r="H5163" s="383"/>
      <c r="I5163" s="401"/>
      <c r="J5163" s="291"/>
      <c r="K5163" s="291"/>
      <c r="L5163" s="291"/>
      <c r="M5163" s="291"/>
      <c r="S5163" s="364"/>
      <c r="Z5163" s="609" t="s">
        <v>1995</v>
      </c>
      <c r="AA5163" s="609"/>
    </row>
    <row r="5164" spans="1:27" ht="17">
      <c r="A5164" s="2714"/>
      <c r="B5164" s="371">
        <v>101.005</v>
      </c>
      <c r="C5164" s="371"/>
      <c r="D5164" s="2716">
        <f t="shared" si="557"/>
        <v>1</v>
      </c>
      <c r="E5164" s="2721" t="s">
        <v>4411</v>
      </c>
      <c r="F5164" s="294"/>
      <c r="G5164" s="380" t="s">
        <v>4416</v>
      </c>
      <c r="H5164" s="383"/>
      <c r="I5164" s="401"/>
      <c r="J5164" s="291"/>
      <c r="K5164" s="291"/>
      <c r="L5164" s="291"/>
      <c r="M5164" s="291"/>
      <c r="S5164" s="364"/>
      <c r="Z5164" s="609" t="s">
        <v>1995</v>
      </c>
      <c r="AA5164" s="609"/>
    </row>
    <row r="5165" spans="1:27" ht="17">
      <c r="A5165" s="2714"/>
      <c r="B5165" s="371">
        <v>101.006</v>
      </c>
      <c r="C5165" s="371"/>
      <c r="D5165" s="2716">
        <f t="shared" si="557"/>
        <v>1</v>
      </c>
      <c r="E5165" s="2721" t="s">
        <v>4411</v>
      </c>
      <c r="F5165" s="294"/>
      <c r="G5165" s="380" t="s">
        <v>4417</v>
      </c>
      <c r="H5165" s="383"/>
      <c r="I5165" s="401"/>
      <c r="J5165" s="291"/>
      <c r="K5165" s="291"/>
      <c r="L5165" s="291"/>
      <c r="M5165" s="291"/>
      <c r="S5165" s="364"/>
      <c r="Z5165" s="609" t="s">
        <v>1995</v>
      </c>
      <c r="AA5165" s="609"/>
    </row>
    <row r="5166" spans="1:27" ht="17">
      <c r="A5166" s="2714"/>
      <c r="B5166" s="371">
        <v>102</v>
      </c>
      <c r="C5166" s="371"/>
      <c r="D5166" s="2716">
        <f t="shared" si="557"/>
        <v>1</v>
      </c>
      <c r="E5166" s="2721">
        <v>0</v>
      </c>
      <c r="F5166" s="294"/>
      <c r="G5166" s="380" t="s">
        <v>4418</v>
      </c>
      <c r="H5166" s="383"/>
      <c r="I5166" s="401"/>
      <c r="J5166" s="291"/>
      <c r="K5166" s="291"/>
      <c r="L5166" s="291"/>
      <c r="M5166" s="291"/>
      <c r="S5166" s="364"/>
      <c r="Z5166" s="609" t="s">
        <v>1995</v>
      </c>
      <c r="AA5166" s="609"/>
    </row>
    <row r="5167" spans="1:27" ht="26">
      <c r="A5167" s="2714"/>
      <c r="B5167" s="371">
        <v>103</v>
      </c>
      <c r="C5167" s="371"/>
      <c r="D5167" s="2716">
        <f t="shared" si="557"/>
        <v>1</v>
      </c>
      <c r="E5167" s="2721">
        <v>0</v>
      </c>
      <c r="F5167" s="294"/>
      <c r="G5167" s="380" t="s">
        <v>4419</v>
      </c>
      <c r="H5167" s="383"/>
      <c r="I5167" s="401"/>
      <c r="J5167" s="291"/>
      <c r="K5167" s="291"/>
      <c r="L5167" s="291"/>
      <c r="M5167" s="291"/>
      <c r="S5167" s="364"/>
      <c r="Z5167" s="609" t="s">
        <v>1995</v>
      </c>
      <c r="AA5167" s="609"/>
    </row>
    <row r="5168" spans="1:27" ht="26">
      <c r="A5168" s="2714"/>
      <c r="B5168" s="371">
        <v>104</v>
      </c>
      <c r="C5168" s="371"/>
      <c r="D5168" s="2716">
        <f t="shared" si="557"/>
        <v>1</v>
      </c>
      <c r="E5168" s="2721">
        <v>0</v>
      </c>
      <c r="F5168" s="294"/>
      <c r="G5168" s="380" t="s">
        <v>4420</v>
      </c>
      <c r="H5168" s="561">
        <f ca="1">H5159+H5166</f>
        <v>0</v>
      </c>
      <c r="I5168" s="562">
        <f ca="1">I5159+I5166</f>
        <v>0</v>
      </c>
      <c r="J5168" s="291"/>
      <c r="K5168" s="291"/>
      <c r="L5168" s="291"/>
      <c r="M5168" s="291"/>
      <c r="S5168" s="364"/>
      <c r="Z5168" s="609" t="s">
        <v>1995</v>
      </c>
      <c r="AA5168" s="609"/>
    </row>
    <row r="5169" spans="1:27" ht="39">
      <c r="A5169" s="2714"/>
      <c r="B5169" s="371">
        <v>105</v>
      </c>
      <c r="C5169" s="371"/>
      <c r="D5169" s="2716">
        <f t="shared" si="557"/>
        <v>1</v>
      </c>
      <c r="E5169" s="2721">
        <v>0</v>
      </c>
      <c r="F5169" s="294"/>
      <c r="G5169" s="620" t="s">
        <v>4421</v>
      </c>
      <c r="H5169" s="621"/>
      <c r="I5169" s="622"/>
      <c r="J5169" s="291"/>
      <c r="K5169" s="291"/>
      <c r="L5169" s="291"/>
      <c r="M5169" s="291"/>
      <c r="S5169" s="364"/>
      <c r="Z5169" s="609" t="s">
        <v>1995</v>
      </c>
      <c r="AA5169" s="609"/>
    </row>
    <row r="5170" spans="1:27" ht="17.5" thickBot="1">
      <c r="A5170" s="2714"/>
      <c r="B5170" s="371"/>
      <c r="C5170" s="371"/>
      <c r="D5170" s="2716">
        <f t="shared" si="557"/>
        <v>0</v>
      </c>
      <c r="E5170" s="2721" t="s">
        <v>3595</v>
      </c>
      <c r="F5170" s="294"/>
      <c r="G5170" s="2682"/>
      <c r="H5170" s="2683"/>
      <c r="I5170" s="2684"/>
      <c r="J5170" s="291"/>
      <c r="K5170" s="291"/>
      <c r="L5170" s="291"/>
      <c r="M5170" s="291"/>
      <c r="S5170" s="364"/>
      <c r="Z5170" s="609" t="s">
        <v>1995</v>
      </c>
      <c r="AA5170" s="609"/>
    </row>
    <row r="5171" spans="1:27" ht="17">
      <c r="A5171" s="2714"/>
      <c r="B5171" s="371"/>
      <c r="C5171" s="371" t="s">
        <v>2755</v>
      </c>
      <c r="D5171" s="371"/>
      <c r="F5171" s="294"/>
      <c r="G5171" s="301"/>
      <c r="H5171" s="349"/>
      <c r="I5171" s="349"/>
      <c r="J5171" s="291"/>
      <c r="K5171" s="291"/>
      <c r="L5171" s="291"/>
      <c r="M5171" s="291"/>
      <c r="S5171" s="364"/>
      <c r="Z5171" s="609" t="s">
        <v>1995</v>
      </c>
      <c r="AA5171" s="609"/>
    </row>
    <row r="5172" spans="1:27" ht="26">
      <c r="A5172" s="2714" t="s">
        <v>2006</v>
      </c>
      <c r="B5172" s="371">
        <v>7</v>
      </c>
      <c r="C5172" s="371"/>
      <c r="D5172" s="2716" t="str">
        <f>VLOOKUP($A5172,Sheet_NoteList,2,0)</f>
        <v>货币资金与现金及现金等价物的调节</v>
      </c>
      <c r="E5172" s="2716" t="s">
        <v>6533</v>
      </c>
      <c r="F5172" s="294"/>
      <c r="G5172" s="372" t="str">
        <f>"("&amp;B5172&amp;")"&amp;D5172</f>
        <v>(7)货币资金与现金及现金等价物的调节</v>
      </c>
      <c r="H5172" s="1517" t="str">
        <f>$A5172</f>
        <v>7500f</v>
      </c>
      <c r="I5172" s="343" t="s">
        <v>5975</v>
      </c>
      <c r="J5172" s="301"/>
      <c r="K5172" s="3084"/>
      <c r="L5172" s="315"/>
      <c r="M5172" s="301"/>
      <c r="N5172" s="3084"/>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7">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7">
      <c r="A5175" s="2714"/>
      <c r="B5175" s="371">
        <v>101</v>
      </c>
      <c r="C5175" s="371"/>
      <c r="D5175" s="2716">
        <f t="shared" ref="D5175:D5180" si="558">IF(OR(G5175="*",G5175="",G5175=0),0,COUNTIF($G$5175:$G$5180,G5175))</f>
        <v>1</v>
      </c>
      <c r="E5175" s="2721">
        <v>1</v>
      </c>
      <c r="F5175" s="294"/>
      <c r="G5175" s="1474" t="s">
        <v>4424</v>
      </c>
      <c r="H5175" s="2296"/>
      <c r="I5175" s="579"/>
      <c r="J5175" s="291"/>
      <c r="K5175" s="291"/>
      <c r="L5175" s="291"/>
      <c r="M5175" s="291"/>
      <c r="S5175" s="364"/>
      <c r="Z5175" s="609" t="s">
        <v>1995</v>
      </c>
      <c r="AA5175" s="609"/>
    </row>
    <row r="5176" spans="1:27" ht="17">
      <c r="A5176" s="2714"/>
      <c r="B5176" s="371">
        <v>102</v>
      </c>
      <c r="C5176" s="371"/>
      <c r="D5176" s="2716">
        <f t="shared" si="558"/>
        <v>1</v>
      </c>
      <c r="E5176" s="2721">
        <v>-1</v>
      </c>
      <c r="F5176" s="294"/>
      <c r="G5176" s="1474" t="s">
        <v>4425</v>
      </c>
      <c r="H5176" s="2296"/>
      <c r="I5176" s="291"/>
      <c r="J5176" s="291"/>
      <c r="K5176" s="291"/>
      <c r="L5176" s="291"/>
      <c r="M5176" s="291"/>
      <c r="S5176" s="364"/>
      <c r="Z5176" s="609" t="s">
        <v>1995</v>
      </c>
      <c r="AA5176" s="609"/>
    </row>
    <row r="5177" spans="1:27" ht="17">
      <c r="A5177" s="2714"/>
      <c r="B5177" s="371">
        <v>103</v>
      </c>
      <c r="C5177" s="371" t="s">
        <v>2791</v>
      </c>
      <c r="D5177" s="2716">
        <f t="shared" si="558"/>
        <v>0</v>
      </c>
      <c r="E5177" s="2721">
        <v>-1</v>
      </c>
      <c r="F5177" s="294"/>
      <c r="G5177" s="2467" t="s">
        <v>2792</v>
      </c>
      <c r="H5177" s="2296"/>
      <c r="I5177" s="291"/>
      <c r="J5177" s="291"/>
      <c r="K5177" s="291"/>
      <c r="L5177" s="291"/>
      <c r="M5177" s="291"/>
      <c r="S5177" s="364"/>
      <c r="Z5177" s="609" t="s">
        <v>1995</v>
      </c>
      <c r="AA5177" s="609"/>
    </row>
    <row r="5178" spans="1:27" ht="26">
      <c r="A5178" s="2714"/>
      <c r="B5178" s="371">
        <v>104</v>
      </c>
      <c r="C5178" s="371"/>
      <c r="D5178" s="2716">
        <f t="shared" si="558"/>
        <v>1</v>
      </c>
      <c r="E5178" s="2721">
        <v>1</v>
      </c>
      <c r="F5178" s="294"/>
      <c r="G5178" s="1474" t="s">
        <v>4426</v>
      </c>
      <c r="H5178" s="2296"/>
      <c r="I5178" s="291"/>
      <c r="J5178" s="291"/>
      <c r="K5178" s="291"/>
      <c r="L5178" s="291"/>
      <c r="M5178" s="291"/>
      <c r="S5178" s="364"/>
      <c r="Z5178" s="609" t="s">
        <v>1995</v>
      </c>
      <c r="AA5178" s="609"/>
    </row>
    <row r="5179" spans="1:27" ht="17">
      <c r="A5179" s="2714"/>
      <c r="B5179" s="371">
        <v>105</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17.5" thickBot="1">
      <c r="A5180" s="2714"/>
      <c r="B5180" s="371"/>
      <c r="C5180" s="371"/>
      <c r="D5180" s="2716">
        <f t="shared" si="558"/>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7">
      <c r="A5181" s="2714"/>
      <c r="B5181" s="371"/>
      <c r="C5181" s="371" t="s">
        <v>2755</v>
      </c>
      <c r="D5181" s="371"/>
      <c r="F5181" s="294"/>
      <c r="G5181" s="301"/>
      <c r="H5181" s="315"/>
      <c r="I5181" s="291"/>
      <c r="J5181" s="291"/>
      <c r="K5181" s="291"/>
      <c r="L5181" s="291"/>
      <c r="M5181" s="291"/>
      <c r="S5181" s="364"/>
      <c r="Z5181" s="609" t="s">
        <v>1995</v>
      </c>
      <c r="AA5181" s="609"/>
    </row>
    <row r="5182" spans="1:27" ht="26">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6">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84"/>
      <c r="L5183" s="315"/>
      <c r="M5183" s="301"/>
      <c r="N5183" s="3084"/>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7">
      <c r="A5185" s="2714"/>
      <c r="B5185" s="371"/>
      <c r="C5185" s="371"/>
      <c r="D5185" s="371"/>
      <c r="E5185" s="586" t="s">
        <v>2749</v>
      </c>
      <c r="F5185" s="363"/>
      <c r="G5185" s="2570" t="s">
        <v>47</v>
      </c>
      <c r="H5185" s="2566" t="s">
        <v>2887</v>
      </c>
      <c r="I5185" s="2565" t="s">
        <v>2758</v>
      </c>
      <c r="J5185" s="355" t="s">
        <v>5345</v>
      </c>
      <c r="M5185" s="291"/>
      <c r="N5185" s="291"/>
      <c r="O5185" s="291"/>
      <c r="P5185" s="291"/>
      <c r="S5185" s="364"/>
      <c r="Z5185" s="609" t="s">
        <v>2101</v>
      </c>
      <c r="AA5185" s="609"/>
    </row>
    <row r="5186" spans="1:27" ht="26">
      <c r="A5186" s="2714"/>
      <c r="B5186" s="371">
        <v>101</v>
      </c>
      <c r="C5186" s="371" t="s">
        <v>2791</v>
      </c>
      <c r="D5186" s="2716">
        <f t="shared" ref="D5186:D5191" si="559">IF(OR(G5186="*",G5186="",G5186=0),0,COUNTIF($G$5186:$G$5191,G5186))</f>
        <v>1</v>
      </c>
      <c r="E5186" s="2721">
        <v>1</v>
      </c>
      <c r="F5186" s="294"/>
      <c r="G5186" s="2568" t="s">
        <v>4428</v>
      </c>
      <c r="H5186" s="2275"/>
      <c r="I5186" s="2276"/>
      <c r="J5186" s="355" t="s">
        <v>6142</v>
      </c>
      <c r="M5186" s="291"/>
      <c r="N5186" s="291"/>
      <c r="O5186" s="291"/>
      <c r="P5186" s="291"/>
      <c r="S5186" s="364"/>
      <c r="Z5186" s="609" t="s">
        <v>2101</v>
      </c>
      <c r="AA5186" s="609"/>
    </row>
    <row r="5187" spans="1:27" ht="17">
      <c r="A5187" s="2714"/>
      <c r="B5187" s="371">
        <v>102</v>
      </c>
      <c r="C5187" s="371" t="s">
        <v>2791</v>
      </c>
      <c r="D5187" s="2716">
        <f t="shared" si="559"/>
        <v>0</v>
      </c>
      <c r="E5187" s="2721">
        <v>1</v>
      </c>
      <c r="F5187" s="294"/>
      <c r="G5187" s="2568" t="s">
        <v>2792</v>
      </c>
      <c r="H5187" s="2275"/>
      <c r="I5187" s="2276"/>
      <c r="M5187" s="291"/>
      <c r="N5187" s="291"/>
      <c r="O5187" s="291"/>
      <c r="P5187" s="291"/>
      <c r="S5187" s="364"/>
      <c r="Z5187" s="609" t="s">
        <v>2101</v>
      </c>
      <c r="AA5187" s="609"/>
    </row>
    <row r="5188" spans="1:27" ht="17">
      <c r="A5188" s="2714"/>
      <c r="B5188" s="371">
        <v>103</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7">
      <c r="A5189" s="2714"/>
      <c r="B5189" s="371">
        <v>104</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7">
      <c r="A5190" s="2714"/>
      <c r="B5190" s="371">
        <v>105</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7.5" thickBot="1">
      <c r="A5191" s="2714"/>
      <c r="B5191" s="371"/>
      <c r="C5191" s="371"/>
      <c r="D5191" s="2716">
        <f t="shared" si="559"/>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7">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6">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6">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84"/>
      <c r="L5194" s="315"/>
      <c r="M5194" s="301"/>
      <c r="N5194" s="3084"/>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6">
      <c r="A5196" s="2714"/>
      <c r="B5196" s="371"/>
      <c r="C5196" s="371"/>
      <c r="D5196" s="371"/>
      <c r="E5196" s="586" t="s">
        <v>2749</v>
      </c>
      <c r="F5196" s="363"/>
      <c r="G5196" s="2457" t="s">
        <v>47</v>
      </c>
      <c r="H5196" s="2464" t="str">
        <f>$W$2&amp;"账面价值"</f>
        <v>2019年12月31日账面价值</v>
      </c>
      <c r="I5196" s="2469" t="s">
        <v>4432</v>
      </c>
      <c r="J5196" s="355" t="s">
        <v>5346</v>
      </c>
      <c r="M5196" s="291"/>
      <c r="N5196" s="291"/>
      <c r="O5196" s="291"/>
      <c r="P5196" s="291"/>
      <c r="S5196" s="364"/>
      <c r="Z5196" s="609" t="s">
        <v>4429</v>
      </c>
      <c r="AA5196" s="609"/>
    </row>
    <row r="5197" spans="1:27" ht="17">
      <c r="A5197" s="2714"/>
      <c r="B5197" s="371">
        <v>101</v>
      </c>
      <c r="C5197" s="371"/>
      <c r="D5197" s="2716">
        <f t="shared" ref="D5197:D5205" si="560">IF(OR(G5197="*",G5197="",G5197=0),0,COUNTIF($G$5197:$G$5205,G5197))</f>
        <v>1</v>
      </c>
      <c r="E5197" s="2721">
        <v>1</v>
      </c>
      <c r="F5197" s="294"/>
      <c r="G5197" s="1474" t="s">
        <v>10</v>
      </c>
      <c r="H5197" s="2275"/>
      <c r="I5197" s="2276"/>
      <c r="M5197" s="291"/>
      <c r="N5197" s="291"/>
      <c r="O5197" s="291"/>
      <c r="P5197" s="291"/>
      <c r="S5197" s="364"/>
      <c r="Z5197" s="609" t="s">
        <v>4429</v>
      </c>
      <c r="AA5197" s="609"/>
    </row>
    <row r="5198" spans="1:27" ht="17">
      <c r="A5198" s="2714"/>
      <c r="B5198" s="371">
        <v>102</v>
      </c>
      <c r="C5198" s="371"/>
      <c r="D5198" s="2716">
        <f t="shared" si="560"/>
        <v>1</v>
      </c>
      <c r="E5198" s="2721">
        <v>1</v>
      </c>
      <c r="F5198" s="294"/>
      <c r="G5198" s="1474" t="s">
        <v>109</v>
      </c>
      <c r="H5198" s="2275"/>
      <c r="I5198" s="2276"/>
      <c r="M5198" s="291"/>
      <c r="N5198" s="291"/>
      <c r="O5198" s="291"/>
      <c r="P5198" s="291"/>
      <c r="S5198" s="364"/>
      <c r="Z5198" s="609" t="s">
        <v>4429</v>
      </c>
      <c r="AA5198" s="609"/>
    </row>
    <row r="5199" spans="1:27" ht="17">
      <c r="A5199" s="2714"/>
      <c r="B5199" s="371">
        <v>103</v>
      </c>
      <c r="C5199" s="371"/>
      <c r="D5199" s="2716">
        <f t="shared" si="560"/>
        <v>1</v>
      </c>
      <c r="E5199" s="2721">
        <v>1</v>
      </c>
      <c r="F5199" s="294"/>
      <c r="G5199" s="1474" t="s">
        <v>229</v>
      </c>
      <c r="H5199" s="2275"/>
      <c r="I5199" s="2276"/>
      <c r="M5199" s="291"/>
      <c r="N5199" s="291"/>
      <c r="O5199" s="291"/>
      <c r="P5199" s="291"/>
      <c r="S5199" s="364"/>
      <c r="Z5199" s="609" t="s">
        <v>4429</v>
      </c>
      <c r="AA5199" s="609"/>
    </row>
    <row r="5200" spans="1:27" ht="17">
      <c r="A5200" s="2714"/>
      <c r="B5200" s="371">
        <v>104</v>
      </c>
      <c r="C5200" s="371"/>
      <c r="D5200" s="2716">
        <f t="shared" si="560"/>
        <v>1</v>
      </c>
      <c r="E5200" s="2721">
        <v>1</v>
      </c>
      <c r="F5200" s="294"/>
      <c r="G5200" s="1474" t="s">
        <v>337</v>
      </c>
      <c r="H5200" s="2275"/>
      <c r="I5200" s="2276"/>
      <c r="M5200" s="291"/>
      <c r="N5200" s="291"/>
      <c r="O5200" s="291"/>
      <c r="P5200" s="291"/>
      <c r="S5200" s="364"/>
      <c r="Z5200" s="609" t="s">
        <v>4429</v>
      </c>
      <c r="AA5200" s="609"/>
    </row>
    <row r="5201" spans="1:27" ht="17">
      <c r="A5201" s="2714"/>
      <c r="B5201" s="371">
        <v>105</v>
      </c>
      <c r="C5201" s="371"/>
      <c r="D5201" s="2716">
        <f t="shared" si="560"/>
        <v>1</v>
      </c>
      <c r="E5201" s="2721">
        <v>1</v>
      </c>
      <c r="F5201" s="294"/>
      <c r="G5201" s="1474" t="s">
        <v>396</v>
      </c>
      <c r="H5201" s="2275"/>
      <c r="I5201" s="2276"/>
      <c r="M5201" s="291"/>
      <c r="N5201" s="291"/>
      <c r="O5201" s="291"/>
      <c r="P5201" s="291"/>
      <c r="S5201" s="364"/>
      <c r="Z5201" s="609" t="s">
        <v>4429</v>
      </c>
      <c r="AA5201" s="609"/>
    </row>
    <row r="5202" spans="1:27" ht="17">
      <c r="A5202" s="2714"/>
      <c r="B5202" s="371">
        <v>106</v>
      </c>
      <c r="C5202" s="371" t="s">
        <v>2791</v>
      </c>
      <c r="D5202" s="2716">
        <f t="shared" si="560"/>
        <v>0</v>
      </c>
      <c r="E5202" s="2721">
        <v>1</v>
      </c>
      <c r="F5202" s="294"/>
      <c r="G5202" s="2467" t="s">
        <v>2792</v>
      </c>
      <c r="H5202" s="2275"/>
      <c r="I5202" s="2276"/>
      <c r="M5202" s="291"/>
      <c r="N5202" s="291"/>
      <c r="O5202" s="291"/>
      <c r="P5202" s="291"/>
      <c r="S5202" s="364"/>
      <c r="Z5202" s="609" t="s">
        <v>4429</v>
      </c>
      <c r="AA5202" s="609"/>
    </row>
    <row r="5203" spans="1:27" ht="17">
      <c r="A5203" s="2714"/>
      <c r="B5203" s="371">
        <v>107</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7">
      <c r="A5204" s="2714"/>
      <c r="B5204" s="371">
        <v>108</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7.5" thickBot="1">
      <c r="A5205" s="2714"/>
      <c r="B5205" s="371"/>
      <c r="C5205" s="371"/>
      <c r="D5205" s="2716">
        <f t="shared" si="560"/>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7">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7">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7">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84"/>
      <c r="L5208" s="315"/>
      <c r="M5208" s="301"/>
      <c r="N5208" s="3084"/>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39">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5347</v>
      </c>
      <c r="M5210" s="291"/>
      <c r="N5210" s="291"/>
      <c r="O5210" s="291"/>
      <c r="P5210" s="291"/>
      <c r="S5210" s="364"/>
      <c r="Z5210" s="609" t="s">
        <v>4433</v>
      </c>
      <c r="AA5210" s="609"/>
    </row>
    <row r="5211" spans="1:27" ht="17">
      <c r="A5211" s="2714"/>
      <c r="B5211" s="371">
        <v>101</v>
      </c>
      <c r="C5211" s="371"/>
      <c r="D5211" s="2716">
        <f t="shared" ref="D5211:D5242" si="561">IF(OR(G5211="*",G5211="",G5211=0),0,COUNTIF($G$5211:$G$5272,G5211))</f>
        <v>1</v>
      </c>
      <c r="E5211" s="2721" t="s">
        <v>41</v>
      </c>
      <c r="F5211" s="294"/>
      <c r="G5211" s="308" t="s">
        <v>5262</v>
      </c>
      <c r="H5211" s="309"/>
      <c r="I5211" s="360"/>
      <c r="J5211" s="346"/>
      <c r="K5211" s="1587" t="s">
        <v>45</v>
      </c>
      <c r="M5211" s="291"/>
      <c r="N5211" s="291"/>
      <c r="O5211" s="291"/>
      <c r="P5211" s="291"/>
      <c r="S5211" s="364"/>
      <c r="Z5211" s="609" t="s">
        <v>4433</v>
      </c>
      <c r="AA5211" s="609"/>
    </row>
    <row r="5212" spans="1:27" ht="17">
      <c r="A5212" s="2714"/>
      <c r="B5212" s="371">
        <v>102</v>
      </c>
      <c r="C5212" s="371" t="s">
        <v>2791</v>
      </c>
      <c r="D5212" s="2716">
        <f t="shared" si="561"/>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7">
      <c r="A5213" s="2714"/>
      <c r="B5213" s="371">
        <v>103</v>
      </c>
      <c r="C5213" s="371" t="s">
        <v>2791</v>
      </c>
      <c r="D5213" s="2716">
        <f t="shared" si="561"/>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7">
      <c r="A5214" s="2714"/>
      <c r="B5214" s="371">
        <v>104</v>
      </c>
      <c r="C5214" s="371" t="s">
        <v>2791</v>
      </c>
      <c r="D5214" s="2716">
        <f t="shared" si="561"/>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7">
      <c r="A5215" s="2714"/>
      <c r="B5215" s="371">
        <v>105</v>
      </c>
      <c r="C5215" s="371" t="s">
        <v>2791</v>
      </c>
      <c r="D5215" s="2716">
        <f t="shared" si="561"/>
        <v>0</v>
      </c>
      <c r="E5215" s="2721">
        <v>1</v>
      </c>
      <c r="F5215" s="294"/>
      <c r="G5215" s="1504" t="s">
        <v>2792</v>
      </c>
      <c r="H5215" s="309"/>
      <c r="I5215" s="360"/>
      <c r="J5215" s="346"/>
      <c r="M5215" s="291"/>
      <c r="N5215" s="291"/>
      <c r="O5215" s="291"/>
      <c r="P5215" s="291"/>
      <c r="S5215" s="364"/>
      <c r="Z5215" s="609" t="s">
        <v>4433</v>
      </c>
      <c r="AA5215" s="609"/>
    </row>
    <row r="5216" spans="1:27" ht="17">
      <c r="A5216" s="2714"/>
      <c r="B5216" s="371">
        <v>106</v>
      </c>
      <c r="C5216" s="371"/>
      <c r="D5216" s="2716">
        <f t="shared" si="561"/>
        <v>1</v>
      </c>
      <c r="E5216" s="2721" t="s">
        <v>41</v>
      </c>
      <c r="F5216" s="294"/>
      <c r="G5216" s="308" t="s">
        <v>5255</v>
      </c>
      <c r="H5216" s="309"/>
      <c r="I5216" s="360"/>
      <c r="J5216" s="346"/>
      <c r="K5216" s="1587" t="s">
        <v>5586</v>
      </c>
      <c r="M5216" s="291"/>
      <c r="N5216" s="291"/>
      <c r="O5216" s="291"/>
      <c r="P5216" s="291"/>
      <c r="S5216" s="364"/>
      <c r="Z5216" s="609" t="s">
        <v>4433</v>
      </c>
      <c r="AA5216" s="609"/>
    </row>
    <row r="5217" spans="1:27" ht="17">
      <c r="A5217" s="2714"/>
      <c r="B5217" s="371">
        <v>107</v>
      </c>
      <c r="C5217" s="371" t="s">
        <v>2791</v>
      </c>
      <c r="D5217" s="2716">
        <f t="shared" si="561"/>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7">
      <c r="A5218" s="2714"/>
      <c r="B5218" s="371">
        <v>108</v>
      </c>
      <c r="C5218" s="371" t="s">
        <v>2791</v>
      </c>
      <c r="D5218" s="2716">
        <f t="shared" si="561"/>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7">
      <c r="A5219" s="2714"/>
      <c r="B5219" s="371">
        <v>109</v>
      </c>
      <c r="C5219" s="371" t="s">
        <v>2791</v>
      </c>
      <c r="D5219" s="2716">
        <f t="shared" si="561"/>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7">
      <c r="A5220" s="2714"/>
      <c r="B5220" s="371">
        <v>110</v>
      </c>
      <c r="C5220" s="371" t="s">
        <v>2791</v>
      </c>
      <c r="D5220" s="2716">
        <f t="shared" si="561"/>
        <v>0</v>
      </c>
      <c r="E5220" s="2721">
        <v>1</v>
      </c>
      <c r="F5220" s="294"/>
      <c r="G5220" s="1504" t="s">
        <v>2792</v>
      </c>
      <c r="H5220" s="309"/>
      <c r="I5220" s="360"/>
      <c r="J5220" s="346"/>
      <c r="M5220" s="291"/>
      <c r="N5220" s="291"/>
      <c r="O5220" s="291"/>
      <c r="P5220" s="291"/>
      <c r="S5220" s="364"/>
      <c r="Z5220" s="609" t="s">
        <v>4433</v>
      </c>
      <c r="AA5220" s="609"/>
    </row>
    <row r="5221" spans="1:27" ht="17">
      <c r="A5221" s="2714"/>
      <c r="B5221" s="371">
        <v>111</v>
      </c>
      <c r="C5221" s="371"/>
      <c r="D5221" s="2716">
        <f t="shared" si="561"/>
        <v>1</v>
      </c>
      <c r="E5221" s="2721" t="s">
        <v>41</v>
      </c>
      <c r="F5221" s="294"/>
      <c r="G5221" s="308" t="s">
        <v>5263</v>
      </c>
      <c r="H5221" s="309"/>
      <c r="I5221" s="360"/>
      <c r="J5221" s="346"/>
      <c r="K5221" s="1587" t="s">
        <v>419</v>
      </c>
      <c r="M5221" s="291"/>
      <c r="N5221" s="291"/>
      <c r="O5221" s="291"/>
      <c r="P5221" s="291"/>
      <c r="S5221" s="364"/>
      <c r="Z5221" s="609" t="s">
        <v>4433</v>
      </c>
      <c r="AA5221" s="609"/>
    </row>
    <row r="5222" spans="1:27" ht="17">
      <c r="A5222" s="2714"/>
      <c r="B5222" s="371">
        <v>112</v>
      </c>
      <c r="C5222" s="371" t="s">
        <v>2791</v>
      </c>
      <c r="D5222" s="2716">
        <f t="shared" si="561"/>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7">
      <c r="A5223" s="2714"/>
      <c r="B5223" s="371">
        <v>113</v>
      </c>
      <c r="C5223" s="371" t="s">
        <v>2791</v>
      </c>
      <c r="D5223" s="2716">
        <f t="shared" si="561"/>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7">
      <c r="A5224" s="2714"/>
      <c r="B5224" s="371">
        <v>114</v>
      </c>
      <c r="C5224" s="371" t="s">
        <v>2791</v>
      </c>
      <c r="D5224" s="2716">
        <f t="shared" si="561"/>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7">
      <c r="A5225" s="2714"/>
      <c r="B5225" s="371">
        <v>115</v>
      </c>
      <c r="C5225" s="371" t="s">
        <v>2791</v>
      </c>
      <c r="D5225" s="2716">
        <f t="shared" si="561"/>
        <v>0</v>
      </c>
      <c r="E5225" s="2721">
        <v>1</v>
      </c>
      <c r="F5225" s="294"/>
      <c r="G5225" s="1504" t="s">
        <v>2792</v>
      </c>
      <c r="H5225" s="309"/>
      <c r="I5225" s="360"/>
      <c r="J5225" s="346"/>
      <c r="M5225" s="291"/>
      <c r="N5225" s="291"/>
      <c r="O5225" s="291"/>
      <c r="P5225" s="291"/>
      <c r="S5225" s="364"/>
      <c r="Z5225" s="609" t="s">
        <v>4433</v>
      </c>
      <c r="AA5225" s="609"/>
    </row>
    <row r="5226" spans="1:27" ht="17">
      <c r="A5226" s="2714"/>
      <c r="B5226" s="371">
        <v>116</v>
      </c>
      <c r="C5226" s="371"/>
      <c r="D5226" s="2716">
        <f t="shared" si="561"/>
        <v>1</v>
      </c>
      <c r="E5226" s="2721" t="s">
        <v>41</v>
      </c>
      <c r="F5226" s="294"/>
      <c r="G5226" s="308" t="s">
        <v>5616</v>
      </c>
      <c r="H5226" s="309"/>
      <c r="I5226" s="360"/>
      <c r="J5226" s="346"/>
      <c r="K5226" s="1587" t="s">
        <v>629</v>
      </c>
      <c r="M5226" s="291"/>
      <c r="N5226" s="291"/>
      <c r="O5226" s="291"/>
      <c r="P5226" s="291"/>
      <c r="S5226" s="364"/>
      <c r="Z5226" s="609" t="s">
        <v>4433</v>
      </c>
      <c r="AA5226" s="609"/>
    </row>
    <row r="5227" spans="1:27" ht="17">
      <c r="A5227" s="2714"/>
      <c r="B5227" s="371">
        <v>117</v>
      </c>
      <c r="C5227" s="371" t="s">
        <v>2791</v>
      </c>
      <c r="D5227" s="2716">
        <f t="shared" si="561"/>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7">
      <c r="A5228" s="2714"/>
      <c r="B5228" s="371">
        <v>118</v>
      </c>
      <c r="C5228" s="371" t="s">
        <v>2791</v>
      </c>
      <c r="D5228" s="2716">
        <f t="shared" si="561"/>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7">
      <c r="A5229" s="2714"/>
      <c r="B5229" s="371">
        <v>119</v>
      </c>
      <c r="C5229" s="371" t="s">
        <v>2791</v>
      </c>
      <c r="D5229" s="2716">
        <f t="shared" si="561"/>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7">
      <c r="A5230" s="2714"/>
      <c r="B5230" s="371">
        <v>120</v>
      </c>
      <c r="C5230" s="371" t="s">
        <v>2791</v>
      </c>
      <c r="D5230" s="2716">
        <f t="shared" si="561"/>
        <v>0</v>
      </c>
      <c r="E5230" s="2721">
        <v>1</v>
      </c>
      <c r="F5230" s="294"/>
      <c r="G5230" s="1504" t="s">
        <v>2792</v>
      </c>
      <c r="H5230" s="309"/>
      <c r="I5230" s="360"/>
      <c r="J5230" s="346"/>
      <c r="M5230" s="291"/>
      <c r="N5230" s="291"/>
      <c r="O5230" s="291"/>
      <c r="P5230" s="291"/>
      <c r="S5230" s="364"/>
      <c r="Z5230" s="609" t="s">
        <v>4433</v>
      </c>
      <c r="AA5230" s="609"/>
    </row>
    <row r="5231" spans="1:27" ht="17">
      <c r="A5231" s="2714"/>
      <c r="B5231" s="371">
        <v>121</v>
      </c>
      <c r="C5231" s="371"/>
      <c r="D5231" s="2716">
        <f t="shared" si="561"/>
        <v>1</v>
      </c>
      <c r="E5231" s="2721" t="s">
        <v>41</v>
      </c>
      <c r="F5231" s="294"/>
      <c r="G5231" s="308" t="s">
        <v>5256</v>
      </c>
      <c r="H5231" s="2329">
        <v>0</v>
      </c>
      <c r="I5231" s="360"/>
      <c r="J5231" s="2694">
        <v>0</v>
      </c>
      <c r="K5231" s="1587" t="s">
        <v>5588</v>
      </c>
      <c r="M5231" s="291"/>
      <c r="N5231" s="291"/>
      <c r="O5231" s="291"/>
      <c r="P5231" s="291"/>
      <c r="S5231" s="364"/>
      <c r="Z5231" s="609" t="s">
        <v>4433</v>
      </c>
      <c r="AA5231" s="609"/>
    </row>
    <row r="5232" spans="1:27" ht="26">
      <c r="A5232" s="2714"/>
      <c r="B5232" s="371">
        <v>122</v>
      </c>
      <c r="C5232" s="371" t="s">
        <v>2791</v>
      </c>
      <c r="D5232" s="2716">
        <f t="shared" si="561"/>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7">
      <c r="A5233" s="2714"/>
      <c r="B5233" s="371">
        <v>123</v>
      </c>
      <c r="C5233" s="371" t="s">
        <v>2791</v>
      </c>
      <c r="D5233" s="2716">
        <f t="shared" si="561"/>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7">
      <c r="A5234" s="2714"/>
      <c r="B5234" s="371">
        <v>124</v>
      </c>
      <c r="C5234" s="371" t="s">
        <v>6534</v>
      </c>
      <c r="D5234" s="2716">
        <f t="shared" si="561"/>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7">
      <c r="A5235" s="2714"/>
      <c r="B5235" s="371">
        <v>125</v>
      </c>
      <c r="C5235" s="371" t="s">
        <v>2791</v>
      </c>
      <c r="D5235" s="2716">
        <f t="shared" si="561"/>
        <v>0</v>
      </c>
      <c r="E5235" s="2721">
        <v>1</v>
      </c>
      <c r="F5235" s="294"/>
      <c r="G5235" s="1504" t="s">
        <v>2792</v>
      </c>
      <c r="H5235" s="2329">
        <v>0</v>
      </c>
      <c r="I5235" s="360"/>
      <c r="J5235" s="2696">
        <v>0</v>
      </c>
      <c r="M5235" s="291"/>
      <c r="N5235" s="291"/>
      <c r="O5235" s="291"/>
      <c r="P5235" s="291"/>
      <c r="S5235" s="364"/>
      <c r="Z5235" s="609" t="s">
        <v>4433</v>
      </c>
      <c r="AA5235" s="609"/>
    </row>
    <row r="5236" spans="1:27" ht="17">
      <c r="A5236" s="2714"/>
      <c r="B5236" s="371">
        <v>126</v>
      </c>
      <c r="C5236" s="371"/>
      <c r="D5236" s="2716">
        <f t="shared" si="561"/>
        <v>1</v>
      </c>
      <c r="E5236" s="2721" t="s">
        <v>41</v>
      </c>
      <c r="F5236" s="294"/>
      <c r="G5236" s="2589" t="s">
        <v>6178</v>
      </c>
      <c r="H5236" s="309"/>
      <c r="I5236" s="360"/>
      <c r="J5236" s="346"/>
      <c r="K5236" s="1587" t="s">
        <v>977</v>
      </c>
      <c r="M5236" s="291"/>
      <c r="N5236" s="291"/>
      <c r="O5236" s="291"/>
      <c r="P5236" s="291"/>
      <c r="S5236" s="364"/>
      <c r="Z5236" s="609" t="s">
        <v>4433</v>
      </c>
      <c r="AA5236" s="609"/>
    </row>
    <row r="5237" spans="1:27" ht="17">
      <c r="A5237" s="2714"/>
      <c r="B5237" s="371">
        <v>127</v>
      </c>
      <c r="C5237" s="371" t="s">
        <v>2791</v>
      </c>
      <c r="D5237" s="2716">
        <f t="shared" si="561"/>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7">
      <c r="A5238" s="2714"/>
      <c r="B5238" s="371">
        <v>128</v>
      </c>
      <c r="C5238" s="371" t="s">
        <v>2791</v>
      </c>
      <c r="D5238" s="2716">
        <f t="shared" si="561"/>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7">
      <c r="A5239" s="2714"/>
      <c r="B5239" s="371">
        <v>129</v>
      </c>
      <c r="C5239" s="371" t="s">
        <v>2791</v>
      </c>
      <c r="D5239" s="2716">
        <f t="shared" si="561"/>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7">
      <c r="A5240" s="2714"/>
      <c r="B5240" s="371">
        <v>130</v>
      </c>
      <c r="C5240" s="371" t="s">
        <v>2791</v>
      </c>
      <c r="D5240" s="2716">
        <f t="shared" si="561"/>
        <v>0</v>
      </c>
      <c r="E5240" s="2721">
        <v>1</v>
      </c>
      <c r="F5240" s="294"/>
      <c r="G5240" s="1504" t="s">
        <v>2792</v>
      </c>
      <c r="H5240" s="309"/>
      <c r="I5240" s="360"/>
      <c r="J5240" s="346"/>
      <c r="M5240" s="291"/>
      <c r="N5240" s="291"/>
      <c r="O5240" s="291"/>
      <c r="P5240" s="291"/>
      <c r="S5240" s="364"/>
      <c r="Z5240" s="609" t="s">
        <v>4433</v>
      </c>
      <c r="AA5240" s="609"/>
    </row>
    <row r="5241" spans="1:27" ht="17">
      <c r="A5241" s="2714"/>
      <c r="B5241" s="371">
        <v>132</v>
      </c>
      <c r="C5241" s="371"/>
      <c r="D5241" s="2716">
        <f t="shared" si="561"/>
        <v>1</v>
      </c>
      <c r="E5241" s="2721" t="s">
        <v>41</v>
      </c>
      <c r="F5241" s="294"/>
      <c r="G5241" s="308" t="s">
        <v>5257</v>
      </c>
      <c r="H5241" s="309"/>
      <c r="I5241" s="360"/>
      <c r="J5241" s="346"/>
      <c r="K5241" s="1587" t="s">
        <v>1437</v>
      </c>
      <c r="M5241" s="291"/>
      <c r="N5241" s="291"/>
      <c r="O5241" s="291"/>
      <c r="P5241" s="291"/>
      <c r="S5241" s="364"/>
      <c r="Z5241" s="609" t="s">
        <v>4433</v>
      </c>
      <c r="AA5241" s="609"/>
    </row>
    <row r="5242" spans="1:27" ht="17">
      <c r="A5242" s="2714"/>
      <c r="B5242" s="371">
        <v>133</v>
      </c>
      <c r="C5242" s="371" t="s">
        <v>2791</v>
      </c>
      <c r="D5242" s="2716">
        <f t="shared" si="561"/>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7">
      <c r="A5243" s="2714"/>
      <c r="B5243" s="371">
        <v>134</v>
      </c>
      <c r="C5243" s="371" t="s">
        <v>2791</v>
      </c>
      <c r="D5243" s="2716">
        <f t="shared" ref="D5243:D5272" si="562">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7">
      <c r="A5244" s="2714"/>
      <c r="B5244" s="371">
        <v>135</v>
      </c>
      <c r="C5244" s="371" t="s">
        <v>2791</v>
      </c>
      <c r="D5244" s="2716">
        <f t="shared" si="562"/>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7">
      <c r="A5245" s="2714"/>
      <c r="B5245" s="371">
        <v>136</v>
      </c>
      <c r="C5245" s="371" t="s">
        <v>2791</v>
      </c>
      <c r="D5245" s="2716">
        <f t="shared" si="562"/>
        <v>0</v>
      </c>
      <c r="E5245" s="2721">
        <v>1</v>
      </c>
      <c r="F5245" s="294"/>
      <c r="G5245" s="1504" t="s">
        <v>2792</v>
      </c>
      <c r="H5245" s="309"/>
      <c r="I5245" s="360"/>
      <c r="J5245" s="346"/>
      <c r="M5245" s="291"/>
      <c r="N5245" s="291"/>
      <c r="O5245" s="291"/>
      <c r="P5245" s="291"/>
      <c r="S5245" s="364"/>
      <c r="Z5245" s="609" t="s">
        <v>4433</v>
      </c>
      <c r="AA5245" s="609"/>
    </row>
    <row r="5246" spans="1:27" ht="17">
      <c r="A5246" s="2714"/>
      <c r="B5246" s="371">
        <v>137</v>
      </c>
      <c r="C5246" s="371"/>
      <c r="D5246" s="2716">
        <f t="shared" si="562"/>
        <v>1</v>
      </c>
      <c r="E5246" s="2721" t="s">
        <v>41</v>
      </c>
      <c r="F5246" s="294"/>
      <c r="G5246" s="308" t="s">
        <v>5258</v>
      </c>
      <c r="H5246" s="309"/>
      <c r="I5246" s="360"/>
      <c r="J5246" s="346"/>
      <c r="K5246" s="1587" t="s">
        <v>1584</v>
      </c>
      <c r="M5246" s="291"/>
      <c r="N5246" s="291"/>
      <c r="O5246" s="291"/>
      <c r="P5246" s="291"/>
      <c r="S5246" s="364"/>
      <c r="Z5246" s="609" t="s">
        <v>4433</v>
      </c>
      <c r="AA5246" s="609"/>
    </row>
    <row r="5247" spans="1:27" ht="17">
      <c r="A5247" s="2714"/>
      <c r="B5247" s="371">
        <v>138</v>
      </c>
      <c r="C5247" s="371" t="s">
        <v>2791</v>
      </c>
      <c r="D5247" s="2716">
        <f t="shared" si="562"/>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7">
      <c r="A5248" s="2714"/>
      <c r="B5248" s="371">
        <v>139</v>
      </c>
      <c r="C5248" s="371" t="s">
        <v>2791</v>
      </c>
      <c r="D5248" s="2716">
        <f t="shared" si="562"/>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7">
      <c r="A5249" s="2714"/>
      <c r="B5249" s="371">
        <v>140</v>
      </c>
      <c r="C5249" s="371" t="s">
        <v>2791</v>
      </c>
      <c r="D5249" s="2716">
        <f t="shared" si="562"/>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7">
      <c r="A5250" s="2714"/>
      <c r="B5250" s="371">
        <v>141</v>
      </c>
      <c r="C5250" s="371" t="s">
        <v>2791</v>
      </c>
      <c r="D5250" s="2716">
        <f t="shared" si="562"/>
        <v>0</v>
      </c>
      <c r="E5250" s="2721">
        <v>1</v>
      </c>
      <c r="F5250" s="294"/>
      <c r="G5250" s="1504" t="s">
        <v>2792</v>
      </c>
      <c r="H5250" s="309"/>
      <c r="I5250" s="360"/>
      <c r="J5250" s="346"/>
      <c r="M5250" s="291"/>
      <c r="N5250" s="291"/>
      <c r="O5250" s="291"/>
      <c r="P5250" s="291"/>
      <c r="S5250" s="364"/>
      <c r="Z5250" s="609" t="s">
        <v>4433</v>
      </c>
      <c r="AA5250" s="609"/>
    </row>
    <row r="5251" spans="1:27" ht="17">
      <c r="A5251" s="2714"/>
      <c r="B5251" s="371">
        <v>142</v>
      </c>
      <c r="C5251" s="371"/>
      <c r="D5251" s="2716">
        <f t="shared" si="562"/>
        <v>1</v>
      </c>
      <c r="E5251" s="2721" t="s">
        <v>41</v>
      </c>
      <c r="F5251" s="294"/>
      <c r="G5251" s="308" t="s">
        <v>5259</v>
      </c>
      <c r="H5251" s="309"/>
      <c r="I5251" s="360"/>
      <c r="J5251" s="346"/>
      <c r="K5251" s="1587" t="s">
        <v>1385</v>
      </c>
      <c r="M5251" s="291"/>
      <c r="N5251" s="291"/>
      <c r="O5251" s="291"/>
      <c r="P5251" s="291"/>
      <c r="S5251" s="364"/>
      <c r="Z5251" s="609" t="s">
        <v>4433</v>
      </c>
      <c r="AA5251" s="609"/>
    </row>
    <row r="5252" spans="1:27" ht="17">
      <c r="A5252" s="2714"/>
      <c r="B5252" s="371">
        <v>143</v>
      </c>
      <c r="C5252" s="371" t="s">
        <v>2791</v>
      </c>
      <c r="D5252" s="2716">
        <f t="shared" si="562"/>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7">
      <c r="A5253" s="2714"/>
      <c r="B5253" s="371">
        <v>144</v>
      </c>
      <c r="C5253" s="371" t="s">
        <v>2791</v>
      </c>
      <c r="D5253" s="2716">
        <f t="shared" si="562"/>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7">
      <c r="A5254" s="2714"/>
      <c r="B5254" s="371">
        <v>145</v>
      </c>
      <c r="C5254" s="371" t="s">
        <v>2791</v>
      </c>
      <c r="D5254" s="2716">
        <f t="shared" si="562"/>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7">
      <c r="A5255" s="2714"/>
      <c r="B5255" s="371">
        <v>146</v>
      </c>
      <c r="C5255" s="371" t="s">
        <v>6534</v>
      </c>
      <c r="D5255" s="2716">
        <f t="shared" si="562"/>
        <v>0</v>
      </c>
      <c r="E5255" s="2721">
        <v>1</v>
      </c>
      <c r="F5255" s="294"/>
      <c r="G5255" s="1504" t="s">
        <v>2792</v>
      </c>
      <c r="H5255" s="309"/>
      <c r="I5255" s="360"/>
      <c r="J5255" s="346"/>
      <c r="M5255" s="291"/>
      <c r="N5255" s="291"/>
      <c r="O5255" s="291"/>
      <c r="P5255" s="291"/>
      <c r="S5255" s="364"/>
      <c r="Z5255" s="609" t="s">
        <v>4433</v>
      </c>
      <c r="AA5255" s="609"/>
    </row>
    <row r="5256" spans="1:27" ht="17">
      <c r="A5256" s="2714"/>
      <c r="B5256" s="371">
        <v>147</v>
      </c>
      <c r="C5256" s="371"/>
      <c r="D5256" s="2716">
        <f t="shared" si="562"/>
        <v>1</v>
      </c>
      <c r="E5256" s="2721" t="s">
        <v>41</v>
      </c>
      <c r="F5256" s="294"/>
      <c r="G5256" s="308" t="s">
        <v>5260</v>
      </c>
      <c r="H5256" s="309"/>
      <c r="I5256" s="360"/>
      <c r="J5256" s="346"/>
      <c r="K5256" s="1587" t="s">
        <v>5590</v>
      </c>
      <c r="M5256" s="291"/>
      <c r="N5256" s="291"/>
      <c r="O5256" s="291"/>
      <c r="P5256" s="291"/>
      <c r="S5256" s="364"/>
      <c r="Z5256" s="609" t="s">
        <v>4433</v>
      </c>
      <c r="AA5256" s="609"/>
    </row>
    <row r="5257" spans="1:27" ht="17">
      <c r="A5257" s="2714"/>
      <c r="B5257" s="371">
        <v>148</v>
      </c>
      <c r="C5257" s="371" t="s">
        <v>2791</v>
      </c>
      <c r="D5257" s="2716">
        <f t="shared" si="562"/>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7">
      <c r="A5258" s="2714"/>
      <c r="B5258" s="371">
        <v>149</v>
      </c>
      <c r="C5258" s="371" t="s">
        <v>2791</v>
      </c>
      <c r="D5258" s="2716">
        <f t="shared" si="562"/>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7">
      <c r="A5259" s="2714"/>
      <c r="B5259" s="371">
        <v>150</v>
      </c>
      <c r="C5259" s="371" t="s">
        <v>2791</v>
      </c>
      <c r="D5259" s="2716">
        <f t="shared" si="562"/>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7">
      <c r="A5260" s="2714"/>
      <c r="B5260" s="371">
        <v>151</v>
      </c>
      <c r="C5260" s="371" t="s">
        <v>2791</v>
      </c>
      <c r="D5260" s="2716">
        <f t="shared" si="562"/>
        <v>0</v>
      </c>
      <c r="E5260" s="2721">
        <v>1</v>
      </c>
      <c r="F5260" s="294"/>
      <c r="G5260" s="1504" t="s">
        <v>2792</v>
      </c>
      <c r="H5260" s="309"/>
      <c r="I5260" s="360"/>
      <c r="J5260" s="346"/>
      <c r="M5260" s="291"/>
      <c r="N5260" s="291"/>
      <c r="O5260" s="291"/>
      <c r="P5260" s="291"/>
      <c r="S5260" s="364"/>
      <c r="Z5260" s="609" t="s">
        <v>4433</v>
      </c>
      <c r="AA5260" s="609"/>
    </row>
    <row r="5261" spans="1:27" ht="17">
      <c r="A5261" s="2714"/>
      <c r="B5261" s="371">
        <v>152</v>
      </c>
      <c r="C5261" s="371"/>
      <c r="D5261" s="2716">
        <f t="shared" si="562"/>
        <v>1</v>
      </c>
      <c r="E5261" s="2721" t="s">
        <v>41</v>
      </c>
      <c r="F5261" s="294"/>
      <c r="G5261" s="1505" t="s">
        <v>546</v>
      </c>
      <c r="H5261" s="309"/>
      <c r="I5261" s="360"/>
      <c r="J5261" s="346"/>
      <c r="K5261" s="1587" t="s">
        <v>1657</v>
      </c>
      <c r="M5261" s="291"/>
      <c r="N5261" s="291"/>
      <c r="O5261" s="291"/>
      <c r="P5261" s="291"/>
      <c r="S5261" s="364"/>
      <c r="Z5261" s="609" t="s">
        <v>4433</v>
      </c>
      <c r="AA5261" s="609"/>
    </row>
    <row r="5262" spans="1:27" ht="17">
      <c r="A5262" s="2714"/>
      <c r="B5262" s="371">
        <v>153</v>
      </c>
      <c r="C5262" s="371" t="s">
        <v>2791</v>
      </c>
      <c r="D5262" s="2716">
        <f t="shared" si="562"/>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7">
      <c r="A5263" s="2714"/>
      <c r="B5263" s="371">
        <v>154</v>
      </c>
      <c r="C5263" s="371" t="s">
        <v>2791</v>
      </c>
      <c r="D5263" s="2716">
        <f t="shared" si="562"/>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7">
      <c r="A5264" s="2714"/>
      <c r="B5264" s="371">
        <v>155</v>
      </c>
      <c r="C5264" s="371" t="s">
        <v>2791</v>
      </c>
      <c r="D5264" s="2716">
        <f t="shared" si="562"/>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7">
      <c r="A5265" s="2714"/>
      <c r="B5265" s="371">
        <v>156</v>
      </c>
      <c r="C5265" s="371" t="s">
        <v>2791</v>
      </c>
      <c r="D5265" s="2716">
        <f t="shared" si="562"/>
        <v>0</v>
      </c>
      <c r="E5265" s="2721">
        <v>1</v>
      </c>
      <c r="F5265" s="294"/>
      <c r="G5265" s="1504" t="s">
        <v>2792</v>
      </c>
      <c r="H5265" s="309"/>
      <c r="I5265" s="360"/>
      <c r="J5265" s="346"/>
      <c r="M5265" s="291"/>
      <c r="N5265" s="291"/>
      <c r="O5265" s="291"/>
      <c r="P5265" s="291"/>
      <c r="S5265" s="364"/>
      <c r="Z5265" s="609" t="s">
        <v>4433</v>
      </c>
      <c r="AA5265" s="609"/>
    </row>
    <row r="5266" spans="1:27" ht="17">
      <c r="A5266" s="2714"/>
      <c r="B5266" s="371">
        <v>157</v>
      </c>
      <c r="C5266" s="371"/>
      <c r="D5266" s="2716">
        <f t="shared" si="562"/>
        <v>1</v>
      </c>
      <c r="E5266" s="2721" t="s">
        <v>41</v>
      </c>
      <c r="F5266" s="294"/>
      <c r="G5266" s="308" t="s">
        <v>5261</v>
      </c>
      <c r="H5266" s="309"/>
      <c r="I5266" s="360"/>
      <c r="J5266" s="346"/>
      <c r="K5266" s="1587" t="s">
        <v>1692</v>
      </c>
      <c r="M5266" s="291"/>
      <c r="N5266" s="291"/>
      <c r="O5266" s="291"/>
      <c r="P5266" s="291"/>
      <c r="S5266" s="364"/>
      <c r="Z5266" s="609" t="s">
        <v>4433</v>
      </c>
      <c r="AA5266" s="609"/>
    </row>
    <row r="5267" spans="1:27" ht="17">
      <c r="A5267" s="2714"/>
      <c r="B5267" s="371">
        <v>158</v>
      </c>
      <c r="C5267" s="371" t="s">
        <v>2791</v>
      </c>
      <c r="D5267" s="2716">
        <f t="shared" si="562"/>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7">
      <c r="A5268" s="2714"/>
      <c r="B5268" s="371">
        <v>159</v>
      </c>
      <c r="C5268" s="371" t="s">
        <v>2791</v>
      </c>
      <c r="D5268" s="2716">
        <f t="shared" si="562"/>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7">
      <c r="A5269" s="2714"/>
      <c r="B5269" s="371">
        <v>160</v>
      </c>
      <c r="C5269" s="371" t="s">
        <v>2791</v>
      </c>
      <c r="D5269" s="2716">
        <f t="shared" si="562"/>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7">
      <c r="A5270" s="2714"/>
      <c r="B5270" s="371">
        <v>161</v>
      </c>
      <c r="C5270" s="371" t="s">
        <v>2791</v>
      </c>
      <c r="D5270" s="2716">
        <f t="shared" si="562"/>
        <v>0</v>
      </c>
      <c r="E5270" s="2721">
        <v>1</v>
      </c>
      <c r="F5270" s="294"/>
      <c r="G5270" s="1504" t="s">
        <v>2792</v>
      </c>
      <c r="H5270" s="309"/>
      <c r="I5270" s="360"/>
      <c r="J5270" s="346"/>
      <c r="M5270" s="291"/>
      <c r="N5270" s="291"/>
      <c r="O5270" s="291"/>
      <c r="P5270" s="291"/>
      <c r="S5270" s="364"/>
      <c r="Z5270" s="609" t="s">
        <v>4433</v>
      </c>
      <c r="AA5270" s="609"/>
    </row>
    <row r="5271" spans="1:27" ht="17">
      <c r="A5271" s="2714"/>
      <c r="B5271" s="371">
        <v>162</v>
      </c>
      <c r="C5271" s="371" t="s">
        <v>6534</v>
      </c>
      <c r="D5271" s="2716">
        <f t="shared" si="562"/>
        <v>0</v>
      </c>
      <c r="E5271" s="2721">
        <v>1</v>
      </c>
      <c r="F5271" s="294"/>
      <c r="G5271" s="1497" t="s">
        <v>2792</v>
      </c>
      <c r="H5271" s="309"/>
      <c r="I5271" s="360"/>
      <c r="J5271" s="346"/>
      <c r="M5271" s="291"/>
      <c r="N5271" s="291"/>
      <c r="O5271" s="291"/>
      <c r="P5271" s="291"/>
      <c r="S5271" s="364"/>
      <c r="Z5271" s="609" t="s">
        <v>4433</v>
      </c>
      <c r="AA5271" s="609"/>
    </row>
    <row r="5272" spans="1:27" ht="17.5" thickBot="1">
      <c r="A5272" s="2714"/>
      <c r="B5272" s="371"/>
      <c r="C5272" s="371"/>
      <c r="D5272" s="2716">
        <f t="shared" si="562"/>
        <v>0</v>
      </c>
      <c r="E5272" s="2721" t="s">
        <v>6569</v>
      </c>
      <c r="F5272" s="294"/>
      <c r="G5272" s="2429"/>
      <c r="H5272" s="2485"/>
      <c r="I5272" s="2486"/>
      <c r="J5272" s="2487"/>
      <c r="M5272" s="291"/>
      <c r="N5272" s="291"/>
      <c r="O5272" s="291"/>
      <c r="P5272" s="291"/>
      <c r="S5272" s="364"/>
      <c r="Z5272" s="609" t="s">
        <v>4433</v>
      </c>
      <c r="AA5272" s="609"/>
    </row>
    <row r="5273" spans="1:27" ht="17">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7">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24" t="s">
        <v>5495</v>
      </c>
      <c r="H5278" s="3202" t="s">
        <v>2887</v>
      </c>
      <c r="I5278" s="3202" t="s">
        <v>4655</v>
      </c>
      <c r="J5278" s="3202" t="s">
        <v>4656</v>
      </c>
      <c r="K5278" s="3202"/>
      <c r="L5278" s="3257" t="s">
        <v>4657</v>
      </c>
      <c r="M5278" s="2672" t="s">
        <v>5348</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25"/>
      <c r="H5279" s="3203"/>
      <c r="I5279" s="3203"/>
      <c r="J5279" s="408" t="str">
        <f>$V$4</f>
        <v>2019年度</v>
      </c>
      <c r="K5279" s="420" t="str">
        <f>$V$5</f>
        <v>2018年度</v>
      </c>
      <c r="L5279" s="3258"/>
      <c r="M5279" s="1511"/>
      <c r="N5279" s="434"/>
      <c r="O5279" s="434"/>
      <c r="P5279" s="1511"/>
      <c r="Q5279" s="442"/>
      <c r="R5279" s="443"/>
      <c r="S5279" s="364"/>
      <c r="Z5279" s="609" t="s">
        <v>2158</v>
      </c>
      <c r="AA5279" s="609" t="s">
        <v>19</v>
      </c>
    </row>
    <row r="5280" spans="1:27" ht="17">
      <c r="A5280" s="2714"/>
      <c r="B5280" s="371">
        <v>101</v>
      </c>
      <c r="C5280" s="371" t="s">
        <v>2791</v>
      </c>
      <c r="D5280" s="2716">
        <f t="shared" ref="D5280:D5288" si="563">IF(OR(G5280="*",G5280="",G5280=0),0,COUNTIF($G$5280:$G$5288,G5280))</f>
        <v>0</v>
      </c>
      <c r="E5280" s="2721">
        <v>1</v>
      </c>
      <c r="F5280" s="293"/>
      <c r="G5280" s="319" t="s">
        <v>2792</v>
      </c>
      <c r="H5280" s="309"/>
      <c r="I5280" s="430"/>
      <c r="J5280" s="309"/>
      <c r="K5280" s="320"/>
      <c r="L5280" s="388"/>
      <c r="M5280" s="2672" t="s">
        <v>6367</v>
      </c>
      <c r="N5280" s="2674" t="s">
        <v>6366</v>
      </c>
      <c r="O5280" s="437"/>
      <c r="P5280" s="438"/>
      <c r="Q5280" s="442"/>
      <c r="R5280" s="443"/>
      <c r="S5280" s="364"/>
      <c r="Z5280" s="609" t="s">
        <v>2158</v>
      </c>
      <c r="AA5280" s="609" t="s">
        <v>19</v>
      </c>
    </row>
    <row r="5281" spans="1:27" ht="17">
      <c r="A5281" s="2714"/>
      <c r="B5281" s="371">
        <v>102</v>
      </c>
      <c r="C5281" s="371" t="s">
        <v>2791</v>
      </c>
      <c r="D5281" s="2716">
        <f t="shared" si="563"/>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7">
      <c r="A5282" s="2714"/>
      <c r="B5282" s="371">
        <v>103</v>
      </c>
      <c r="C5282" s="371" t="s">
        <v>2791</v>
      </c>
      <c r="D5282" s="2716">
        <f t="shared" si="563"/>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7">
      <c r="A5283" s="2714"/>
      <c r="B5283" s="371">
        <v>104</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7">
      <c r="A5284" s="2714"/>
      <c r="B5284" s="371">
        <v>105</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7">
      <c r="A5285" s="2714"/>
      <c r="B5285" s="371">
        <v>106</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7">
      <c r="A5286" s="2714"/>
      <c r="B5286" s="371">
        <v>107</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7">
      <c r="A5287" s="2714"/>
      <c r="B5287" s="371">
        <v>108</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7.5" thickBot="1">
      <c r="A5288" s="2714"/>
      <c r="B5288" s="371"/>
      <c r="C5288" s="371"/>
      <c r="D5288" s="2716">
        <f t="shared" si="563"/>
        <v>1</v>
      </c>
      <c r="E5288" s="2721" t="s">
        <v>2751</v>
      </c>
      <c r="F5288" s="293"/>
      <c r="G5288" s="374" t="s">
        <v>5494</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7">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7">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24" t="s">
        <v>5495</v>
      </c>
      <c r="H5293" s="3202" t="s">
        <v>2887</v>
      </c>
      <c r="I5293" s="3202" t="s">
        <v>4655</v>
      </c>
      <c r="J5293" s="3202" t="s">
        <v>4656</v>
      </c>
      <c r="K5293" s="3202"/>
      <c r="L5293" s="3257" t="s">
        <v>4657</v>
      </c>
      <c r="M5293" s="355" t="s">
        <v>5348</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25"/>
      <c r="H5294" s="3203"/>
      <c r="I5294" s="3203"/>
      <c r="J5294" s="408" t="str">
        <f>$V$4</f>
        <v>2019年度</v>
      </c>
      <c r="K5294" s="2239" t="str">
        <f>$V$5</f>
        <v>2018年度</v>
      </c>
      <c r="L5294" s="3258"/>
      <c r="M5294" s="435"/>
      <c r="N5294" s="434"/>
      <c r="O5294" s="434"/>
      <c r="P5294" s="435"/>
      <c r="Q5294" s="442"/>
      <c r="R5294" s="443"/>
      <c r="S5294" s="364"/>
      <c r="Z5294" s="609" t="s">
        <v>2158</v>
      </c>
      <c r="AA5294" s="609" t="s">
        <v>19</v>
      </c>
    </row>
    <row r="5295" spans="1:27" ht="17">
      <c r="A5295" s="2714"/>
      <c r="B5295" s="371">
        <v>101</v>
      </c>
      <c r="C5295" s="371" t="s">
        <v>2791</v>
      </c>
      <c r="D5295" s="2716">
        <f t="shared" ref="D5295:D5303" si="564">IF(OR(G5295="*",G5295="",G5295=0),0,COUNTIF($G$5295:$G$5303,G5295))</f>
        <v>0</v>
      </c>
      <c r="E5295" s="2721">
        <v>1</v>
      </c>
      <c r="F5295" s="293"/>
      <c r="G5295" s="319" t="s">
        <v>2792</v>
      </c>
      <c r="H5295" s="309"/>
      <c r="I5295" s="430"/>
      <c r="J5295" s="309"/>
      <c r="K5295" s="320"/>
      <c r="L5295" s="388"/>
      <c r="M5295" s="2672" t="s">
        <v>6367</v>
      </c>
      <c r="N5295" s="2674" t="s">
        <v>6366</v>
      </c>
      <c r="O5295" s="437"/>
      <c r="P5295" s="438"/>
      <c r="Q5295" s="442"/>
      <c r="R5295" s="443"/>
      <c r="S5295" s="364"/>
      <c r="Z5295" s="609" t="s">
        <v>2158</v>
      </c>
      <c r="AA5295" s="609" t="s">
        <v>19</v>
      </c>
    </row>
    <row r="5296" spans="1:27" ht="17">
      <c r="A5296" s="2714"/>
      <c r="B5296" s="371">
        <v>102</v>
      </c>
      <c r="C5296" s="371" t="s">
        <v>2791</v>
      </c>
      <c r="D5296" s="2716">
        <f t="shared" si="564"/>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7">
      <c r="A5297" s="2714"/>
      <c r="B5297" s="371">
        <v>103</v>
      </c>
      <c r="C5297" s="371" t="s">
        <v>2791</v>
      </c>
      <c r="D5297" s="2716">
        <f t="shared" si="564"/>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7">
      <c r="A5298" s="2714"/>
      <c r="B5298" s="371">
        <v>104</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7">
      <c r="A5299" s="2714"/>
      <c r="B5299" s="371">
        <v>105</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7">
      <c r="A5300" s="2714"/>
      <c r="B5300" s="371">
        <v>106</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7">
      <c r="A5301" s="2714"/>
      <c r="B5301" s="371">
        <v>107</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7">
      <c r="A5302" s="2714"/>
      <c r="B5302" s="371">
        <v>108</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7.5" thickBot="1">
      <c r="A5303" s="2714"/>
      <c r="B5303" s="371"/>
      <c r="C5303" s="371"/>
      <c r="D5303" s="2716">
        <f t="shared" si="564"/>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7">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7">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7">
      <c r="A5307" s="2714"/>
      <c r="B5307" s="371"/>
      <c r="C5307" s="371"/>
      <c r="D5307" s="2716"/>
      <c r="E5307" s="2716" t="s">
        <v>2749</v>
      </c>
      <c r="F5307" s="293"/>
      <c r="G5307" s="373" t="s">
        <v>47</v>
      </c>
      <c r="H5307" s="406" t="s">
        <v>2887</v>
      </c>
      <c r="I5307" s="417" t="s">
        <v>4660</v>
      </c>
      <c r="J5307" s="355" t="s">
        <v>5348</v>
      </c>
      <c r="K5307" s="434"/>
      <c r="L5307" s="434"/>
      <c r="M5307" s="435"/>
      <c r="N5307" s="434"/>
      <c r="O5307" s="434"/>
      <c r="P5307" s="435"/>
      <c r="Q5307" s="442"/>
      <c r="R5307" s="443"/>
      <c r="S5307" s="364"/>
      <c r="Z5307" s="609" t="s">
        <v>2158</v>
      </c>
      <c r="AA5307" s="609" t="s">
        <v>19</v>
      </c>
    </row>
    <row r="5308" spans="1:27" ht="17">
      <c r="A5308" s="2714"/>
      <c r="B5308" s="371">
        <v>101</v>
      </c>
      <c r="C5308" s="371" t="s">
        <v>2791</v>
      </c>
      <c r="D5308" s="2716">
        <f t="shared" ref="D5308:D5316" si="565">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7">
      <c r="A5309" s="2714"/>
      <c r="B5309" s="371">
        <v>102</v>
      </c>
      <c r="C5309" s="371" t="s">
        <v>2791</v>
      </c>
      <c r="D5309" s="2716">
        <f t="shared" si="565"/>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7">
      <c r="A5310" s="2714"/>
      <c r="B5310" s="371">
        <v>103</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7">
      <c r="A5311" s="2714"/>
      <c r="B5311" s="371">
        <v>104</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7">
      <c r="A5312" s="2714"/>
      <c r="B5312" s="371">
        <v>105</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7">
      <c r="A5313" s="2714"/>
      <c r="B5313" s="371">
        <v>106</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7">
      <c r="A5314" s="2714"/>
      <c r="B5314" s="371">
        <v>107</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7">
      <c r="A5315" s="2714"/>
      <c r="B5315" s="371">
        <v>108</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7.5" thickBot="1">
      <c r="A5316" s="2714"/>
      <c r="B5316" s="371"/>
      <c r="C5316" s="371"/>
      <c r="D5316" s="2716">
        <f t="shared" si="565"/>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7">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7">
      <c r="A5318" s="2714">
        <v>9325</v>
      </c>
      <c r="B5318" s="371" t="s">
        <v>6570</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6">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161" t="s">
        <v>47</v>
      </c>
      <c r="H5322" s="3142" t="str">
        <f>$V$2</f>
        <v>2019年12月31日</v>
      </c>
      <c r="I5322" s="3201"/>
      <c r="J5322" s="3201"/>
      <c r="K5322" s="3201"/>
      <c r="L5322" s="3201"/>
      <c r="M5322" s="355" t="s">
        <v>5349</v>
      </c>
      <c r="N5322" s="1536" t="s">
        <v>5542</v>
      </c>
      <c r="O5322" s="1536" t="s">
        <v>5543</v>
      </c>
      <c r="P5322" s="433"/>
      <c r="Q5322" s="442"/>
      <c r="R5322" s="443"/>
      <c r="S5322" s="364"/>
      <c r="Z5322" s="609" t="s">
        <v>2105</v>
      </c>
      <c r="AA5322" s="609" t="s">
        <v>19</v>
      </c>
    </row>
    <row r="5323" spans="1:27" ht="17">
      <c r="A5323" s="2714"/>
      <c r="B5323" s="371"/>
      <c r="C5323" s="371"/>
      <c r="D5323" s="2716"/>
      <c r="E5323" s="2716" t="s">
        <v>2749</v>
      </c>
      <c r="F5323" s="293"/>
      <c r="G5323" s="3162"/>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7">
      <c r="A5324" s="2714"/>
      <c r="B5324" s="371">
        <v>101</v>
      </c>
      <c r="C5324" s="371"/>
      <c r="D5324" s="2716">
        <f t="shared" ref="D5324:D5334" si="566">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7">
      <c r="A5325" s="2714"/>
      <c r="B5325" s="371">
        <v>102</v>
      </c>
      <c r="C5325" s="371"/>
      <c r="D5325" s="2716">
        <f t="shared" si="566"/>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7">N5325-SUM(H5325:L5325)</f>
        <v>0</v>
      </c>
      <c r="P5325" s="438"/>
      <c r="Q5325" s="442"/>
      <c r="R5325" s="443"/>
      <c r="S5325" s="364"/>
      <c r="Z5325" s="609" t="s">
        <v>2105</v>
      </c>
      <c r="AA5325" s="609" t="s">
        <v>19</v>
      </c>
    </row>
    <row r="5326" spans="1:27" ht="17">
      <c r="A5326" s="2714"/>
      <c r="B5326" s="371">
        <v>103</v>
      </c>
      <c r="C5326" s="371"/>
      <c r="D5326" s="2716">
        <f t="shared" si="566"/>
        <v>1</v>
      </c>
      <c r="E5326" s="2721">
        <v>1</v>
      </c>
      <c r="F5326" s="293"/>
      <c r="G5326" s="308" t="s">
        <v>471</v>
      </c>
      <c r="H5326" s="309"/>
      <c r="I5326" s="422"/>
      <c r="J5326" s="309"/>
      <c r="K5326" s="320"/>
      <c r="L5326" s="346"/>
      <c r="M5326" s="438"/>
      <c r="N5326" s="1588">
        <f ca="1">HYPERLINK("#'"&amp;$G$1&amp;"'!"&amp;ADDRESS(ROW(Notes!H3439),COLUMN(Notes!H3439),4),H3439)</f>
        <v>0</v>
      </c>
      <c r="O5326" s="1544">
        <f t="shared" ca="1" si="567"/>
        <v>0</v>
      </c>
      <c r="P5326" s="438"/>
      <c r="Q5326" s="442"/>
      <c r="R5326" s="443"/>
      <c r="S5326" s="364"/>
      <c r="Z5326" s="609" t="s">
        <v>2105</v>
      </c>
      <c r="AA5326" s="609" t="s">
        <v>19</v>
      </c>
    </row>
    <row r="5327" spans="1:27" ht="17">
      <c r="A5327" s="2714"/>
      <c r="B5327" s="371">
        <v>104</v>
      </c>
      <c r="C5327" s="371"/>
      <c r="D5327" s="2716">
        <f t="shared" si="566"/>
        <v>1</v>
      </c>
      <c r="E5327" s="2721">
        <v>1</v>
      </c>
      <c r="F5327" s="293"/>
      <c r="G5327" s="308" t="s">
        <v>476</v>
      </c>
      <c r="H5327" s="309"/>
      <c r="I5327" s="422"/>
      <c r="J5327" s="309"/>
      <c r="K5327" s="320"/>
      <c r="L5327" s="346"/>
      <c r="M5327" s="438"/>
      <c r="N5327" s="1588">
        <f ca="1">HYPERLINK("#'"&amp;$G$1&amp;"'!"&amp;ADDRESS(ROW(Notes!H3452),COLUMN(Notes!H3452),4),H3452)</f>
        <v>0</v>
      </c>
      <c r="O5327" s="1544">
        <f t="shared" ca="1" si="567"/>
        <v>0</v>
      </c>
      <c r="P5327" s="438"/>
      <c r="Q5327" s="442"/>
      <c r="R5327" s="443"/>
      <c r="S5327" s="364"/>
      <c r="Z5327" s="609" t="s">
        <v>2105</v>
      </c>
      <c r="AA5327" s="609" t="s">
        <v>19</v>
      </c>
    </row>
    <row r="5328" spans="1:27" ht="17">
      <c r="A5328" s="2714"/>
      <c r="B5328" s="371">
        <v>105</v>
      </c>
      <c r="C5328" s="371"/>
      <c r="D5328" s="2716">
        <f t="shared" si="566"/>
        <v>1</v>
      </c>
      <c r="E5328" s="2721">
        <v>1</v>
      </c>
      <c r="F5328" s="293"/>
      <c r="G5328" s="308" t="s">
        <v>499</v>
      </c>
      <c r="H5328" s="309"/>
      <c r="I5328" s="422"/>
      <c r="J5328" s="309"/>
      <c r="K5328" s="320"/>
      <c r="L5328" s="346"/>
      <c r="M5328" s="438"/>
      <c r="N5328" s="1588">
        <f ca="1">HYPERLINK("#'"&amp;$G$1&amp;"'!"&amp;ADDRESS(ROW(Notes!H3788),COLUMN(Notes!H3788),4),H3788)</f>
        <v>0</v>
      </c>
      <c r="O5328" s="1544">
        <f t="shared" ca="1" si="567"/>
        <v>0</v>
      </c>
      <c r="P5328" s="438"/>
      <c r="Q5328" s="442"/>
      <c r="R5328" s="443"/>
      <c r="S5328" s="364"/>
      <c r="Z5328" s="609" t="s">
        <v>2105</v>
      </c>
      <c r="AA5328" s="609" t="s">
        <v>19</v>
      </c>
    </row>
    <row r="5329" spans="1:27" ht="17">
      <c r="A5329" s="2714"/>
      <c r="B5329" s="371">
        <v>106</v>
      </c>
      <c r="C5329" s="371"/>
      <c r="D5329" s="2716">
        <f t="shared" si="566"/>
        <v>1</v>
      </c>
      <c r="E5329" s="2721">
        <v>1</v>
      </c>
      <c r="F5329" s="293"/>
      <c r="G5329" s="308" t="s">
        <v>513</v>
      </c>
      <c r="H5329" s="309"/>
      <c r="I5329" s="422"/>
      <c r="J5329" s="309"/>
      <c r="K5329" s="320"/>
      <c r="L5329" s="346"/>
      <c r="M5329" s="438"/>
      <c r="N5329" s="1588">
        <f ca="1">HYPERLINK("#'"&amp;$G$1&amp;"'!"&amp;ADDRESS(ROW(Notes!H3837),COLUMN(Notes!H3837),4),H3837)</f>
        <v>20000</v>
      </c>
      <c r="O5329" s="1544">
        <f t="shared" ca="1" si="567"/>
        <v>20000</v>
      </c>
      <c r="P5329" s="438"/>
      <c r="Q5329" s="442"/>
      <c r="R5329" s="443"/>
      <c r="S5329" s="364"/>
      <c r="Z5329" s="609" t="s">
        <v>2105</v>
      </c>
      <c r="AA5329" s="609" t="s">
        <v>19</v>
      </c>
    </row>
    <row r="5330" spans="1:27" ht="17">
      <c r="A5330" s="2714"/>
      <c r="B5330" s="371">
        <v>107</v>
      </c>
      <c r="C5330" s="371"/>
      <c r="D5330" s="2716">
        <f t="shared" si="566"/>
        <v>1</v>
      </c>
      <c r="E5330" s="2721">
        <v>1</v>
      </c>
      <c r="F5330" s="293"/>
      <c r="G5330" s="308" t="s">
        <v>546</v>
      </c>
      <c r="H5330" s="309"/>
      <c r="I5330" s="422"/>
      <c r="J5330" s="309"/>
      <c r="K5330" s="320"/>
      <c r="L5330" s="346"/>
      <c r="M5330" s="438"/>
      <c r="N5330" s="1588">
        <f ca="1">HYPERLINK("#'"&amp;$G$1&amp;"'!"&amp;ADDRESS(ROW(Notes!H4008),COLUMN(Notes!H4008),4),H4008)</f>
        <v>0</v>
      </c>
      <c r="O5330" s="1544">
        <f t="shared" ca="1" si="567"/>
        <v>0</v>
      </c>
      <c r="P5330" s="438"/>
      <c r="Q5330" s="442"/>
      <c r="R5330" s="443"/>
      <c r="S5330" s="364"/>
      <c r="Z5330" s="609" t="s">
        <v>2105</v>
      </c>
      <c r="AA5330" s="609" t="s">
        <v>19</v>
      </c>
    </row>
    <row r="5331" spans="1:27" ht="17">
      <c r="A5331" s="2714"/>
      <c r="B5331" s="371">
        <v>108</v>
      </c>
      <c r="C5331" s="371"/>
      <c r="D5331" s="2716">
        <f t="shared" si="566"/>
        <v>1</v>
      </c>
      <c r="E5331" s="2721">
        <v>1</v>
      </c>
      <c r="F5331" s="293"/>
      <c r="G5331" s="308" t="s">
        <v>550</v>
      </c>
      <c r="H5331" s="309"/>
      <c r="I5331" s="422"/>
      <c r="J5331" s="309"/>
      <c r="K5331" s="320"/>
      <c r="L5331" s="346"/>
      <c r="M5331" s="438"/>
      <c r="N5331" s="1588">
        <f ca="1">HYPERLINK("#'"&amp;$G$1&amp;"'!"&amp;ADDRESS(ROW(Notes!H4059),COLUMN(Notes!H4059),4),H4059)</f>
        <v>0</v>
      </c>
      <c r="O5331" s="1544">
        <f t="shared" ca="1" si="567"/>
        <v>0</v>
      </c>
      <c r="P5331" s="438"/>
      <c r="Q5331" s="442"/>
      <c r="R5331" s="443"/>
      <c r="S5331" s="364"/>
      <c r="Z5331" s="609" t="s">
        <v>2105</v>
      </c>
      <c r="AA5331" s="609" t="s">
        <v>19</v>
      </c>
    </row>
    <row r="5332" spans="1:27" ht="17">
      <c r="A5332" s="2714"/>
      <c r="B5332" s="371">
        <v>109</v>
      </c>
      <c r="C5332" s="371"/>
      <c r="D5332" s="2716">
        <f t="shared" si="566"/>
        <v>1</v>
      </c>
      <c r="E5332" s="2721">
        <v>1</v>
      </c>
      <c r="F5332" s="293"/>
      <c r="G5332" s="308" t="s">
        <v>554</v>
      </c>
      <c r="H5332" s="309"/>
      <c r="I5332" s="422"/>
      <c r="J5332" s="309"/>
      <c r="K5332" s="320"/>
      <c r="L5332" s="346"/>
      <c r="M5332" s="438"/>
      <c r="N5332" s="1588">
        <f ca="1">HYPERLINK("#'"&amp;$G$1&amp;"'!"&amp;ADDRESS(ROW(Notes!H4127),COLUMN(Notes!H4127),4),H4127)</f>
        <v>0</v>
      </c>
      <c r="O5332" s="1544">
        <f t="shared" ca="1" si="567"/>
        <v>0</v>
      </c>
      <c r="P5332" s="438"/>
      <c r="Q5332" s="442"/>
      <c r="R5332" s="443"/>
      <c r="S5332" s="364"/>
      <c r="Z5332" s="609" t="s">
        <v>2105</v>
      </c>
      <c r="AA5332" s="609" t="s">
        <v>19</v>
      </c>
    </row>
    <row r="5333" spans="1:27" ht="17">
      <c r="A5333" s="2714"/>
      <c r="B5333" s="371">
        <v>110</v>
      </c>
      <c r="C5333" s="371" t="s">
        <v>6537</v>
      </c>
      <c r="D5333" s="2716">
        <f t="shared" si="566"/>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7.5" thickBot="1">
      <c r="A5334" s="2714"/>
      <c r="B5334" s="371"/>
      <c r="C5334" s="371"/>
      <c r="D5334" s="2716">
        <f t="shared" si="566"/>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20000</v>
      </c>
      <c r="P5334" s="440"/>
      <c r="Q5334" s="442"/>
      <c r="R5334" s="443"/>
      <c r="S5334" s="364"/>
      <c r="Z5334" s="609" t="s">
        <v>2105</v>
      </c>
      <c r="AA5334" s="609" t="s">
        <v>19</v>
      </c>
    </row>
    <row r="5335" spans="1:27" ht="17">
      <c r="A5335" s="2714"/>
      <c r="B5335" s="371"/>
      <c r="C5335" s="371" t="s">
        <v>2755</v>
      </c>
      <c r="D5335" s="2716"/>
      <c r="F5335" s="293"/>
      <c r="G5335" s="376"/>
      <c r="H5335" s="315"/>
      <c r="I5335" s="396"/>
      <c r="J5335" s="315"/>
      <c r="K5335" s="423"/>
      <c r="L5335" s="315"/>
      <c r="M5335" s="425"/>
      <c r="N5335" s="1585" t="s">
        <v>5496</v>
      </c>
      <c r="O5335" s="427"/>
      <c r="P5335" s="425"/>
      <c r="Q5335" s="442"/>
      <c r="R5335" s="443"/>
      <c r="S5335" s="364"/>
      <c r="Z5335" s="609" t="s">
        <v>2105</v>
      </c>
      <c r="AA5335" s="609" t="s">
        <v>19</v>
      </c>
    </row>
    <row r="5336" spans="1:27" ht="26">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161" t="s">
        <v>47</v>
      </c>
      <c r="H5339" s="3142" t="str">
        <f>$V$3</f>
        <v>2018年12月31日</v>
      </c>
      <c r="I5339" s="3201"/>
      <c r="J5339" s="3201"/>
      <c r="K5339" s="3201"/>
      <c r="L5339" s="3201"/>
      <c r="M5339" s="355" t="s">
        <v>5349</v>
      </c>
      <c r="N5339" s="1536" t="s">
        <v>5544</v>
      </c>
      <c r="O5339" s="1536" t="s">
        <v>5543</v>
      </c>
      <c r="P5339" s="435"/>
      <c r="Q5339" s="442"/>
      <c r="R5339" s="443"/>
      <c r="S5339" s="364"/>
      <c r="Z5339" s="609" t="s">
        <v>2105</v>
      </c>
      <c r="AA5339" s="609" t="s">
        <v>19</v>
      </c>
    </row>
    <row r="5340" spans="1:27" ht="17">
      <c r="A5340" s="2714"/>
      <c r="B5340" s="371"/>
      <c r="C5340" s="371"/>
      <c r="D5340" s="2716"/>
      <c r="E5340" s="2716" t="s">
        <v>2749</v>
      </c>
      <c r="F5340" s="293"/>
      <c r="G5340" s="3162"/>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7">
      <c r="A5341" s="2714"/>
      <c r="B5341" s="371">
        <v>101</v>
      </c>
      <c r="C5341" s="371"/>
      <c r="D5341" s="2716">
        <f t="shared" ref="D5341:D5351" si="568">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7">
      <c r="A5342" s="2714"/>
      <c r="B5342" s="371">
        <v>102</v>
      </c>
      <c r="C5342" s="371"/>
      <c r="D5342" s="2716">
        <f t="shared" si="568"/>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69">N5342-SUM(H5342:L5342)</f>
        <v>0</v>
      </c>
      <c r="P5342" s="438"/>
      <c r="Q5342" s="442"/>
      <c r="R5342" s="443"/>
      <c r="S5342" s="364"/>
      <c r="Z5342" s="609" t="s">
        <v>2105</v>
      </c>
      <c r="AA5342" s="609" t="s">
        <v>19</v>
      </c>
    </row>
    <row r="5343" spans="1:27" ht="17">
      <c r="A5343" s="2714"/>
      <c r="B5343" s="371">
        <v>103</v>
      </c>
      <c r="C5343" s="371"/>
      <c r="D5343" s="2716">
        <f t="shared" si="568"/>
        <v>1</v>
      </c>
      <c r="E5343" s="2721">
        <v>1</v>
      </c>
      <c r="F5343" s="293"/>
      <c r="G5343" s="319" t="s">
        <v>476</v>
      </c>
      <c r="H5343" s="309"/>
      <c r="I5343" s="422"/>
      <c r="J5343" s="309"/>
      <c r="K5343" s="320"/>
      <c r="L5343" s="346"/>
      <c r="M5343" s="438"/>
      <c r="N5343" s="1588">
        <f ca="1">HYPERLINK("#'"&amp;$G$1&amp;"'!"&amp;ADDRESS(ROW(Notes!I3452),COLUMN(Notes!I3452),4),I3452)</f>
        <v>0</v>
      </c>
      <c r="O5343" s="1544">
        <f t="shared" ca="1" si="569"/>
        <v>0</v>
      </c>
      <c r="P5343" s="438"/>
      <c r="Q5343" s="442"/>
      <c r="R5343" s="443"/>
      <c r="S5343" s="364"/>
      <c r="Z5343" s="609" t="s">
        <v>2105</v>
      </c>
      <c r="AA5343" s="609" t="s">
        <v>19</v>
      </c>
    </row>
    <row r="5344" spans="1:27" ht="17">
      <c r="A5344" s="2714"/>
      <c r="B5344" s="371">
        <v>104</v>
      </c>
      <c r="C5344" s="371"/>
      <c r="D5344" s="2716">
        <f t="shared" si="568"/>
        <v>1</v>
      </c>
      <c r="E5344" s="2721">
        <v>1</v>
      </c>
      <c r="F5344" s="293"/>
      <c r="G5344" s="319" t="s">
        <v>499</v>
      </c>
      <c r="H5344" s="309"/>
      <c r="I5344" s="422"/>
      <c r="J5344" s="309"/>
      <c r="K5344" s="320"/>
      <c r="L5344" s="346"/>
      <c r="M5344" s="438"/>
      <c r="N5344" s="1588">
        <f ca="1">HYPERLINK("#'"&amp;$G$1&amp;"'!"&amp;ADDRESS(ROW(Notes!I3788),COLUMN(Notes!I3788),4),I3788)</f>
        <v>0</v>
      </c>
      <c r="O5344" s="1544">
        <f t="shared" ca="1" si="569"/>
        <v>0</v>
      </c>
      <c r="P5344" s="438"/>
      <c r="Q5344" s="442"/>
      <c r="R5344" s="443"/>
      <c r="S5344" s="364"/>
      <c r="Z5344" s="609" t="s">
        <v>2105</v>
      </c>
      <c r="AA5344" s="609" t="s">
        <v>19</v>
      </c>
    </row>
    <row r="5345" spans="1:27" ht="17">
      <c r="A5345" s="2714"/>
      <c r="B5345" s="371">
        <v>105</v>
      </c>
      <c r="C5345" s="371"/>
      <c r="D5345" s="2716">
        <f t="shared" si="568"/>
        <v>1</v>
      </c>
      <c r="E5345" s="2721">
        <v>1</v>
      </c>
      <c r="F5345" s="293"/>
      <c r="G5345" s="319" t="s">
        <v>513</v>
      </c>
      <c r="H5345" s="309"/>
      <c r="I5345" s="422"/>
      <c r="J5345" s="309"/>
      <c r="K5345" s="320"/>
      <c r="L5345" s="346"/>
      <c r="M5345" s="438"/>
      <c r="N5345" s="1588">
        <f ca="1">HYPERLINK("#'"&amp;$G$1&amp;"'!"&amp;ADDRESS(ROW(Notes!I3837),COLUMN(Notes!I3837),4),I3837)</f>
        <v>20000</v>
      </c>
      <c r="O5345" s="1544">
        <f t="shared" ca="1" si="569"/>
        <v>20000</v>
      </c>
      <c r="P5345" s="438"/>
      <c r="Q5345" s="442"/>
      <c r="R5345" s="443"/>
      <c r="S5345" s="364"/>
      <c r="Z5345" s="609" t="s">
        <v>2105</v>
      </c>
      <c r="AA5345" s="609" t="s">
        <v>19</v>
      </c>
    </row>
    <row r="5346" spans="1:27" ht="17">
      <c r="A5346" s="2714"/>
      <c r="B5346" s="371">
        <v>106</v>
      </c>
      <c r="C5346" s="371"/>
      <c r="D5346" s="2716">
        <f t="shared" si="568"/>
        <v>1</v>
      </c>
      <c r="E5346" s="2721">
        <v>1</v>
      </c>
      <c r="F5346" s="293"/>
      <c r="G5346" s="319" t="s">
        <v>546</v>
      </c>
      <c r="H5346" s="309"/>
      <c r="I5346" s="422"/>
      <c r="J5346" s="309"/>
      <c r="K5346" s="320"/>
      <c r="L5346" s="346"/>
      <c r="M5346" s="438"/>
      <c r="N5346" s="1588">
        <f ca="1">HYPERLINK("#'"&amp;$G$1&amp;"'!"&amp;ADDRESS(ROW(Notes!I4008),COLUMN(Notes!I4008),4),I4008)</f>
        <v>0</v>
      </c>
      <c r="O5346" s="1544">
        <f t="shared" ca="1" si="569"/>
        <v>0</v>
      </c>
      <c r="P5346" s="438"/>
      <c r="Q5346" s="442"/>
      <c r="R5346" s="443"/>
      <c r="S5346" s="364"/>
      <c r="Z5346" s="609" t="s">
        <v>2105</v>
      </c>
      <c r="AA5346" s="609" t="s">
        <v>19</v>
      </c>
    </row>
    <row r="5347" spans="1:27" ht="17">
      <c r="A5347" s="2714"/>
      <c r="B5347" s="371">
        <v>107</v>
      </c>
      <c r="C5347" s="371"/>
      <c r="D5347" s="2716">
        <f t="shared" si="568"/>
        <v>1</v>
      </c>
      <c r="E5347" s="2721">
        <v>1</v>
      </c>
      <c r="F5347" s="293"/>
      <c r="G5347" s="319" t="s">
        <v>550</v>
      </c>
      <c r="H5347" s="309"/>
      <c r="I5347" s="422"/>
      <c r="J5347" s="309"/>
      <c r="K5347" s="320"/>
      <c r="L5347" s="346"/>
      <c r="M5347" s="438"/>
      <c r="N5347" s="1588">
        <f ca="1">HYPERLINK("#'"&amp;$G$1&amp;"'!"&amp;ADDRESS(ROW(Notes!I4059),COLUMN(Notes!I4059),4),I4059)</f>
        <v>0</v>
      </c>
      <c r="O5347" s="1544">
        <f t="shared" ca="1" si="569"/>
        <v>0</v>
      </c>
      <c r="P5347" s="438"/>
      <c r="Q5347" s="442"/>
      <c r="R5347" s="443"/>
      <c r="S5347" s="364"/>
      <c r="Z5347" s="609" t="s">
        <v>2105</v>
      </c>
      <c r="AA5347" s="609" t="s">
        <v>19</v>
      </c>
    </row>
    <row r="5348" spans="1:27" ht="17">
      <c r="A5348" s="2714"/>
      <c r="B5348" s="371">
        <v>108</v>
      </c>
      <c r="C5348" s="371"/>
      <c r="D5348" s="2716">
        <f t="shared" si="568"/>
        <v>1</v>
      </c>
      <c r="E5348" s="2721">
        <v>1</v>
      </c>
      <c r="F5348" s="293"/>
      <c r="G5348" s="319" t="s">
        <v>554</v>
      </c>
      <c r="H5348" s="309"/>
      <c r="I5348" s="422"/>
      <c r="J5348" s="309"/>
      <c r="K5348" s="320"/>
      <c r="L5348" s="346"/>
      <c r="M5348" s="438"/>
      <c r="N5348" s="1588">
        <f ca="1">HYPERLINK("#'"&amp;$G$1&amp;"'!"&amp;ADDRESS(ROW(Notes!I4127),COLUMN(Notes!I4127),4),I4127)</f>
        <v>0</v>
      </c>
      <c r="O5348" s="1544">
        <f t="shared" ca="1" si="569"/>
        <v>0</v>
      </c>
      <c r="P5348" s="438"/>
      <c r="Q5348" s="442"/>
      <c r="R5348" s="443"/>
      <c r="S5348" s="364"/>
      <c r="Z5348" s="609" t="s">
        <v>2105</v>
      </c>
      <c r="AA5348" s="609" t="s">
        <v>19</v>
      </c>
    </row>
    <row r="5349" spans="1:27" ht="17">
      <c r="A5349" s="2714"/>
      <c r="B5349" s="371">
        <v>109</v>
      </c>
      <c r="C5349" s="371" t="s">
        <v>2791</v>
      </c>
      <c r="D5349" s="2716">
        <f t="shared" si="568"/>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7">
      <c r="A5350" s="2714"/>
      <c r="B5350" s="371">
        <v>110</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7.5" thickBot="1">
      <c r="A5351" s="2714"/>
      <c r="B5351" s="371"/>
      <c r="C5351" s="371"/>
      <c r="D5351" s="2716">
        <f t="shared" si="568"/>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20000</v>
      </c>
      <c r="P5351" s="440"/>
      <c r="Q5351" s="442"/>
      <c r="R5351" s="443"/>
      <c r="S5351" s="364"/>
      <c r="Z5351" s="609" t="s">
        <v>2105</v>
      </c>
      <c r="AA5351" s="609" t="s">
        <v>19</v>
      </c>
    </row>
    <row r="5352" spans="1:27" ht="17">
      <c r="A5352" s="2714"/>
      <c r="B5352" s="371"/>
      <c r="C5352" s="371" t="s">
        <v>2755</v>
      </c>
      <c r="D5352" s="2716"/>
      <c r="F5352" s="293"/>
      <c r="G5352" s="376"/>
      <c r="H5352" s="315"/>
      <c r="I5352" s="396"/>
      <c r="J5352" s="315"/>
      <c r="K5352" s="423"/>
      <c r="L5352" s="315"/>
      <c r="M5352" s="425"/>
      <c r="N5352" s="1585" t="s">
        <v>5496</v>
      </c>
      <c r="O5352" s="427"/>
      <c r="P5352" s="425"/>
      <c r="Q5352" s="442"/>
      <c r="R5352" s="443"/>
      <c r="S5352" s="364"/>
      <c r="Z5352" s="609" t="s">
        <v>2105</v>
      </c>
      <c r="AA5352" s="609" t="s">
        <v>19</v>
      </c>
    </row>
    <row r="5353" spans="1:27" ht="26">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161" t="s">
        <v>47</v>
      </c>
      <c r="H5356" s="3142" t="str">
        <f>$V$2</f>
        <v>2019年12月31日</v>
      </c>
      <c r="I5356" s="3201"/>
      <c r="J5356" s="3201"/>
      <c r="K5356" s="3201"/>
      <c r="L5356" s="3201"/>
      <c r="M5356" s="3201"/>
      <c r="N5356" s="355" t="s">
        <v>5349</v>
      </c>
      <c r="O5356" s="1536" t="s">
        <v>5542</v>
      </c>
      <c r="P5356" s="1536" t="s">
        <v>5543</v>
      </c>
      <c r="Q5356" s="442"/>
      <c r="R5356" s="443"/>
      <c r="S5356" s="364"/>
      <c r="Z5356" s="609" t="s">
        <v>2105</v>
      </c>
      <c r="AA5356" s="609" t="s">
        <v>19</v>
      </c>
    </row>
    <row r="5357" spans="1:27" ht="17">
      <c r="A5357" s="2714"/>
      <c r="B5357" s="371"/>
      <c r="C5357" s="371"/>
      <c r="D5357" s="2716"/>
      <c r="E5357" s="2716" t="s">
        <v>2749</v>
      </c>
      <c r="F5357" s="293"/>
      <c r="G5357" s="3162"/>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7">
      <c r="A5358" s="2714"/>
      <c r="B5358" s="371">
        <v>101</v>
      </c>
      <c r="C5358" s="371"/>
      <c r="D5358" s="2716">
        <f t="shared" ref="D5358:D5367" si="570">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15480.77</v>
      </c>
      <c r="P5358" s="1544">
        <f ca="1">O5358-M5358</f>
        <v>15480.77</v>
      </c>
      <c r="Q5358" s="442"/>
      <c r="R5358" s="443"/>
      <c r="S5358" s="364"/>
      <c r="Z5358" s="609" t="s">
        <v>2105</v>
      </c>
      <c r="AA5358" s="609" t="s">
        <v>19</v>
      </c>
    </row>
    <row r="5359" spans="1:27" ht="17">
      <c r="A5359" s="2714"/>
      <c r="B5359" s="371">
        <v>102</v>
      </c>
      <c r="C5359" s="371"/>
      <c r="D5359" s="2716">
        <f t="shared" si="570"/>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1">O5359-M5359</f>
        <v>0</v>
      </c>
      <c r="Q5359" s="442"/>
      <c r="R5359" s="443"/>
      <c r="S5359" s="364"/>
      <c r="Z5359" s="609" t="s">
        <v>2105</v>
      </c>
      <c r="AA5359" s="609" t="s">
        <v>19</v>
      </c>
    </row>
    <row r="5360" spans="1:27" ht="17">
      <c r="A5360" s="2714"/>
      <c r="B5360" s="371">
        <v>103</v>
      </c>
      <c r="C5360" s="371"/>
      <c r="D5360" s="2716">
        <f t="shared" si="570"/>
        <v>1</v>
      </c>
      <c r="E5360" s="2721">
        <v>1</v>
      </c>
      <c r="F5360" s="293"/>
      <c r="G5360" s="319" t="s">
        <v>124</v>
      </c>
      <c r="H5360" s="309"/>
      <c r="I5360" s="422"/>
      <c r="J5360" s="309"/>
      <c r="K5360" s="320"/>
      <c r="L5360" s="309"/>
      <c r="M5360" s="346"/>
      <c r="N5360" s="439"/>
      <c r="O5360" s="1588">
        <f ca="1">HYPERLINK("#'"&amp;$G$1&amp;"'!"&amp;ADDRESS(ROW(Notes!H332),COLUMN(Notes!H332),4),H332)</f>
        <v>0</v>
      </c>
      <c r="P5360" s="1544">
        <f t="shared" ca="1" si="571"/>
        <v>0</v>
      </c>
      <c r="Q5360" s="442"/>
      <c r="R5360" s="443"/>
      <c r="S5360" s="364"/>
      <c r="Z5360" s="609" t="s">
        <v>2105</v>
      </c>
      <c r="AA5360" s="609" t="s">
        <v>19</v>
      </c>
    </row>
    <row r="5361" spans="1:27" ht="17">
      <c r="A5361" s="2714"/>
      <c r="B5361" s="371">
        <v>104</v>
      </c>
      <c r="C5361" s="371"/>
      <c r="D5361" s="2716">
        <f t="shared" si="570"/>
        <v>1</v>
      </c>
      <c r="E5361" s="2721">
        <v>1</v>
      </c>
      <c r="F5361" s="293"/>
      <c r="G5361" s="319" t="s">
        <v>201</v>
      </c>
      <c r="H5361" s="309"/>
      <c r="I5361" s="422"/>
      <c r="J5361" s="309"/>
      <c r="K5361" s="320"/>
      <c r="L5361" s="309"/>
      <c r="M5361" s="346"/>
      <c r="N5361" s="439"/>
      <c r="O5361" s="1588">
        <f ca="1">HYPERLINK("#'"&amp;$G$1&amp;"'!"&amp;ADDRESS(ROW(Notes!H1004),COLUMN(Notes!H1004),4),H1004)</f>
        <v>0</v>
      </c>
      <c r="P5361" s="1544">
        <f t="shared" ca="1" si="571"/>
        <v>0</v>
      </c>
      <c r="Q5361" s="442"/>
      <c r="R5361" s="443"/>
      <c r="S5361" s="364"/>
      <c r="Z5361" s="609" t="s">
        <v>2105</v>
      </c>
      <c r="AA5361" s="609" t="s">
        <v>19</v>
      </c>
    </row>
    <row r="5362" spans="1:27" ht="17">
      <c r="A5362" s="2714"/>
      <c r="B5362" s="371">
        <v>105</v>
      </c>
      <c r="C5362" s="371"/>
      <c r="D5362" s="2716">
        <f t="shared" si="570"/>
        <v>1</v>
      </c>
      <c r="E5362" s="2721">
        <v>1</v>
      </c>
      <c r="F5362" s="293"/>
      <c r="G5362" s="319" t="s">
        <v>317</v>
      </c>
      <c r="H5362" s="309"/>
      <c r="I5362" s="422"/>
      <c r="J5362" s="309"/>
      <c r="K5362" s="320"/>
      <c r="L5362" s="309"/>
      <c r="M5362" s="346"/>
      <c r="N5362" s="439"/>
      <c r="O5362" s="1588">
        <f ca="1">HYPERLINK("#'"&amp;$G$1&amp;"'!"&amp;ADDRESS(ROW(Notes!J2216),COLUMN(Notes!J2216),4),J2216)</f>
        <v>0</v>
      </c>
      <c r="P5362" s="1544">
        <f t="shared" ca="1" si="571"/>
        <v>0</v>
      </c>
      <c r="Q5362" s="442"/>
      <c r="R5362" s="443"/>
      <c r="S5362" s="364"/>
      <c r="Z5362" s="609" t="s">
        <v>2105</v>
      </c>
      <c r="AA5362" s="609" t="s">
        <v>19</v>
      </c>
    </row>
    <row r="5363" spans="1:27" ht="17">
      <c r="A5363" s="2714"/>
      <c r="B5363" s="371">
        <v>106</v>
      </c>
      <c r="C5363" s="371"/>
      <c r="D5363" s="2716">
        <f t="shared" si="570"/>
        <v>1</v>
      </c>
      <c r="E5363" s="2721">
        <v>1</v>
      </c>
      <c r="F5363" s="293"/>
      <c r="G5363" s="319" t="s">
        <v>247</v>
      </c>
      <c r="H5363" s="309"/>
      <c r="I5363" s="422"/>
      <c r="J5363" s="309"/>
      <c r="K5363" s="320"/>
      <c r="L5363" s="309"/>
      <c r="M5363" s="346"/>
      <c r="N5363" s="439"/>
      <c r="O5363" s="1588">
        <f ca="1">HYPERLINK("#'"&amp;$G$1&amp;"'!"&amp;ADDRESS(ROW(Notes!H1820),COLUMN(Notes!H1820),4),H1820)</f>
        <v>480</v>
      </c>
      <c r="P5363" s="1544">
        <f t="shared" ca="1" si="571"/>
        <v>480</v>
      </c>
      <c r="Q5363" s="442"/>
      <c r="R5363" s="443"/>
      <c r="S5363" s="364"/>
      <c r="Z5363" s="609" t="s">
        <v>2105</v>
      </c>
      <c r="AA5363" s="609" t="s">
        <v>19</v>
      </c>
    </row>
    <row r="5364" spans="1:27" ht="17">
      <c r="A5364" s="2714"/>
      <c r="B5364" s="371">
        <v>107</v>
      </c>
      <c r="C5364" s="371"/>
      <c r="D5364" s="2716">
        <f t="shared" si="570"/>
        <v>1</v>
      </c>
      <c r="E5364" s="2721">
        <v>1</v>
      </c>
      <c r="F5364" s="293"/>
      <c r="G5364" s="319" t="s">
        <v>237</v>
      </c>
      <c r="H5364" s="309"/>
      <c r="I5364" s="422"/>
      <c r="J5364" s="309"/>
      <c r="K5364" s="320"/>
      <c r="L5364" s="309"/>
      <c r="M5364" s="346"/>
      <c r="N5364" s="439"/>
      <c r="O5364" s="1588">
        <f ca="1">HYPERLINK("#'"&amp;$G$1&amp;"'!"&amp;ADDRESS(ROW(Notes!H1797),COLUMN(Notes!H1797),4),H1797)</f>
        <v>0</v>
      </c>
      <c r="P5364" s="1544">
        <f t="shared" ca="1" si="571"/>
        <v>0</v>
      </c>
      <c r="Q5364" s="442"/>
      <c r="R5364" s="443"/>
      <c r="S5364" s="364"/>
      <c r="Z5364" s="609" t="s">
        <v>2105</v>
      </c>
      <c r="AA5364" s="609" t="s">
        <v>19</v>
      </c>
    </row>
    <row r="5365" spans="1:27" ht="17">
      <c r="A5365" s="2714"/>
      <c r="B5365" s="371">
        <v>108</v>
      </c>
      <c r="C5365" s="371"/>
      <c r="D5365" s="2716">
        <f t="shared" si="570"/>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1"/>
        <v>0</v>
      </c>
      <c r="Q5365" s="442"/>
      <c r="R5365" s="443"/>
      <c r="S5365" s="364"/>
      <c r="Z5365" s="609" t="s">
        <v>2105</v>
      </c>
      <c r="AA5365" s="609" t="s">
        <v>19</v>
      </c>
    </row>
    <row r="5366" spans="1:27" ht="17">
      <c r="A5366" s="2714"/>
      <c r="B5366" s="371">
        <v>109</v>
      </c>
      <c r="C5366" s="371" t="s">
        <v>2791</v>
      </c>
      <c r="D5366" s="2716">
        <f t="shared" si="570"/>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7.5" thickBot="1">
      <c r="A5367" s="2714"/>
      <c r="B5367" s="371"/>
      <c r="C5367" s="371"/>
      <c r="D5367" s="2716">
        <f t="shared" si="570"/>
        <v>1</v>
      </c>
      <c r="E5367" s="2721" t="s">
        <v>2751</v>
      </c>
      <c r="F5367" s="293"/>
      <c r="G5367" s="2234" t="s">
        <v>2752</v>
      </c>
      <c r="H5367" s="2325">
        <f t="shared" ref="H5367:M5367" si="572">SUMPRODUCT($E5357:$E5366,H5357:H5366)</f>
        <v>0</v>
      </c>
      <c r="I5367" s="2325">
        <f t="shared" si="572"/>
        <v>0</v>
      </c>
      <c r="J5367" s="2325">
        <f t="shared" si="572"/>
        <v>0</v>
      </c>
      <c r="K5367" s="2325">
        <f t="shared" si="572"/>
        <v>0</v>
      </c>
      <c r="L5367" s="2325">
        <f t="shared" si="572"/>
        <v>0</v>
      </c>
      <c r="M5367" s="2342">
        <f t="shared" si="572"/>
        <v>0</v>
      </c>
      <c r="N5367" s="439"/>
      <c r="P5367" s="1557">
        <f ca="1">SUM(P5358:P5366)</f>
        <v>15960.77</v>
      </c>
      <c r="Q5367" s="442"/>
      <c r="R5367" s="443"/>
      <c r="S5367" s="364"/>
      <c r="Z5367" s="609" t="s">
        <v>2105</v>
      </c>
      <c r="AA5367" s="609" t="s">
        <v>19</v>
      </c>
    </row>
    <row r="5368" spans="1:27" ht="17">
      <c r="A5368" s="2714"/>
      <c r="B5368" s="371"/>
      <c r="C5368" s="371" t="s">
        <v>2755</v>
      </c>
      <c r="D5368" s="2716"/>
      <c r="F5368" s="293"/>
      <c r="G5368" s="376"/>
      <c r="H5368" s="315"/>
      <c r="I5368" s="396"/>
      <c r="J5368" s="315"/>
      <c r="K5368" s="423"/>
      <c r="L5368" s="315"/>
      <c r="M5368" s="315"/>
      <c r="N5368" s="426"/>
      <c r="O5368" s="1585" t="s">
        <v>5496</v>
      </c>
      <c r="P5368" s="425"/>
      <c r="Q5368" s="442"/>
      <c r="R5368" s="443"/>
      <c r="S5368" s="364"/>
      <c r="Z5368" s="609" t="s">
        <v>2105</v>
      </c>
      <c r="AA5368" s="609" t="s">
        <v>19</v>
      </c>
    </row>
    <row r="5369" spans="1:27" ht="26">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161" t="s">
        <v>47</v>
      </c>
      <c r="H5372" s="3142" t="str">
        <f>$V$3</f>
        <v>2018年12月31日</v>
      </c>
      <c r="I5372" s="3201"/>
      <c r="J5372" s="3201"/>
      <c r="K5372" s="3201"/>
      <c r="L5372" s="3201"/>
      <c r="M5372" s="3201"/>
      <c r="N5372" s="355" t="s">
        <v>5349</v>
      </c>
      <c r="O5372" s="1536" t="s">
        <v>5544</v>
      </c>
      <c r="P5372" s="1536" t="s">
        <v>5543</v>
      </c>
      <c r="Q5372" s="442"/>
      <c r="R5372" s="443"/>
      <c r="S5372" s="364"/>
      <c r="Z5372" s="609" t="s">
        <v>2105</v>
      </c>
      <c r="AA5372" s="609" t="s">
        <v>19</v>
      </c>
    </row>
    <row r="5373" spans="1:27" ht="17">
      <c r="A5373" s="2714"/>
      <c r="B5373" s="371"/>
      <c r="C5373" s="371"/>
      <c r="D5373" s="2716"/>
      <c r="E5373" s="2716" t="s">
        <v>2749</v>
      </c>
      <c r="F5373" s="293"/>
      <c r="G5373" s="3162"/>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7">
      <c r="A5374" s="2714"/>
      <c r="B5374" s="371">
        <v>101</v>
      </c>
      <c r="C5374" s="371"/>
      <c r="D5374" s="2716">
        <f t="shared" ref="D5374:D5383" si="573">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17805.68</v>
      </c>
      <c r="P5374" s="1544">
        <f ca="1">O5374-M5374</f>
        <v>17805.68</v>
      </c>
      <c r="Q5374" s="442"/>
      <c r="R5374" s="443"/>
      <c r="S5374" s="364"/>
      <c r="Z5374" s="609" t="s">
        <v>2105</v>
      </c>
      <c r="AA5374" s="609" t="s">
        <v>19</v>
      </c>
    </row>
    <row r="5375" spans="1:27" ht="17">
      <c r="A5375" s="2714"/>
      <c r="B5375" s="371">
        <v>102</v>
      </c>
      <c r="C5375" s="371"/>
      <c r="D5375" s="2716">
        <f t="shared" si="573"/>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4">O5375-M5375</f>
        <v>0</v>
      </c>
      <c r="Q5375" s="442"/>
      <c r="R5375" s="443"/>
      <c r="S5375" s="364"/>
      <c r="Z5375" s="609" t="s">
        <v>2105</v>
      </c>
      <c r="AA5375" s="609" t="s">
        <v>19</v>
      </c>
    </row>
    <row r="5376" spans="1:27" ht="17">
      <c r="A5376" s="2714"/>
      <c r="B5376" s="371">
        <v>103</v>
      </c>
      <c r="C5376" s="371"/>
      <c r="D5376" s="2716">
        <f t="shared" si="573"/>
        <v>1</v>
      </c>
      <c r="E5376" s="2721">
        <v>1</v>
      </c>
      <c r="F5376" s="293"/>
      <c r="G5376" s="319" t="s">
        <v>124</v>
      </c>
      <c r="H5376" s="309"/>
      <c r="I5376" s="422"/>
      <c r="J5376" s="309"/>
      <c r="K5376" s="320"/>
      <c r="L5376" s="309"/>
      <c r="M5376" s="346"/>
      <c r="N5376" s="439"/>
      <c r="O5376" s="1588">
        <f ca="1">HYPERLINK("#'"&amp;$G$1&amp;"'!"&amp;ADDRESS(ROW(Notes!I332),COLUMN(Notes!I332),4),I332)</f>
        <v>0</v>
      </c>
      <c r="P5376" s="1544">
        <f t="shared" ca="1" si="574"/>
        <v>0</v>
      </c>
      <c r="Q5376" s="442"/>
      <c r="R5376" s="443"/>
      <c r="S5376" s="364"/>
      <c r="Z5376" s="609" t="s">
        <v>2105</v>
      </c>
      <c r="AA5376" s="609" t="s">
        <v>19</v>
      </c>
    </row>
    <row r="5377" spans="1:27" ht="17">
      <c r="A5377" s="2714"/>
      <c r="B5377" s="371">
        <v>104</v>
      </c>
      <c r="C5377" s="371"/>
      <c r="D5377" s="2716">
        <f t="shared" si="573"/>
        <v>1</v>
      </c>
      <c r="E5377" s="2721">
        <v>1</v>
      </c>
      <c r="F5377" s="293"/>
      <c r="G5377" s="319" t="s">
        <v>201</v>
      </c>
      <c r="H5377" s="309"/>
      <c r="I5377" s="422"/>
      <c r="J5377" s="309"/>
      <c r="K5377" s="320"/>
      <c r="L5377" s="309"/>
      <c r="M5377" s="346"/>
      <c r="N5377" s="439"/>
      <c r="O5377" s="1588">
        <f ca="1">HYPERLINK("#'"&amp;$G$1&amp;"'!"&amp;ADDRESS(ROW(Notes!I1004),COLUMN(Notes!I1004),4),I1004)</f>
        <v>0</v>
      </c>
      <c r="P5377" s="1544">
        <f t="shared" ca="1" si="574"/>
        <v>0</v>
      </c>
      <c r="Q5377" s="442"/>
      <c r="R5377" s="443"/>
      <c r="S5377" s="364"/>
      <c r="Z5377" s="609" t="s">
        <v>2105</v>
      </c>
      <c r="AA5377" s="609" t="s">
        <v>19</v>
      </c>
    </row>
    <row r="5378" spans="1:27" ht="17">
      <c r="A5378" s="2714"/>
      <c r="B5378" s="371">
        <v>105</v>
      </c>
      <c r="C5378" s="371"/>
      <c r="D5378" s="2716">
        <f t="shared" si="573"/>
        <v>1</v>
      </c>
      <c r="E5378" s="2721">
        <v>1</v>
      </c>
      <c r="F5378" s="293"/>
      <c r="G5378" s="319" t="s">
        <v>317</v>
      </c>
      <c r="H5378" s="309"/>
      <c r="I5378" s="422"/>
      <c r="J5378" s="309"/>
      <c r="K5378" s="320"/>
      <c r="L5378" s="309"/>
      <c r="M5378" s="346"/>
      <c r="N5378" s="439"/>
      <c r="O5378" s="1588">
        <f ca="1">HYPERLINK("#'"&amp;$G$1&amp;"'!"&amp;ADDRESS(ROW(Notes!M2216),COLUMN(Notes!M2216),4),M2216)</f>
        <v>0</v>
      </c>
      <c r="P5378" s="1544">
        <f t="shared" ca="1" si="574"/>
        <v>0</v>
      </c>
      <c r="Q5378" s="442"/>
      <c r="R5378" s="443"/>
      <c r="S5378" s="364"/>
      <c r="Z5378" s="609" t="s">
        <v>2105</v>
      </c>
      <c r="AA5378" s="609" t="s">
        <v>19</v>
      </c>
    </row>
    <row r="5379" spans="1:27" ht="17">
      <c r="A5379" s="2714"/>
      <c r="B5379" s="371">
        <v>106</v>
      </c>
      <c r="C5379" s="371"/>
      <c r="D5379" s="2716">
        <f t="shared" si="573"/>
        <v>1</v>
      </c>
      <c r="E5379" s="2721">
        <v>1</v>
      </c>
      <c r="F5379" s="293"/>
      <c r="G5379" s="319" t="s">
        <v>247</v>
      </c>
      <c r="H5379" s="309"/>
      <c r="I5379" s="422"/>
      <c r="J5379" s="309"/>
      <c r="K5379" s="320"/>
      <c r="L5379" s="309"/>
      <c r="M5379" s="346"/>
      <c r="N5379" s="439"/>
      <c r="O5379" s="1588">
        <f ca="1">HYPERLINK("#'"&amp;$G$1&amp;"'!"&amp;ADDRESS(ROW(Notes!I1820),COLUMN(Notes!I1820),4),I1820)</f>
        <v>480</v>
      </c>
      <c r="P5379" s="1544">
        <f t="shared" ca="1" si="574"/>
        <v>480</v>
      </c>
      <c r="Q5379" s="442"/>
      <c r="R5379" s="443"/>
      <c r="S5379" s="364"/>
      <c r="Z5379" s="609" t="s">
        <v>2105</v>
      </c>
      <c r="AA5379" s="609" t="s">
        <v>19</v>
      </c>
    </row>
    <row r="5380" spans="1:27" ht="17">
      <c r="A5380" s="2714"/>
      <c r="B5380" s="371">
        <v>107</v>
      </c>
      <c r="C5380" s="371"/>
      <c r="D5380" s="2716">
        <f t="shared" si="573"/>
        <v>1</v>
      </c>
      <c r="E5380" s="2721">
        <v>1</v>
      </c>
      <c r="F5380" s="293"/>
      <c r="G5380" s="319" t="s">
        <v>237</v>
      </c>
      <c r="H5380" s="309"/>
      <c r="I5380" s="422"/>
      <c r="J5380" s="309"/>
      <c r="K5380" s="320"/>
      <c r="L5380" s="309"/>
      <c r="M5380" s="346"/>
      <c r="N5380" s="439"/>
      <c r="O5380" s="1588">
        <f ca="1">HYPERLINK("#'"&amp;$G$1&amp;"'!"&amp;ADDRESS(ROW(Notes!I1797),COLUMN(Notes!I1797),4),I1797)</f>
        <v>0</v>
      </c>
      <c r="P5380" s="1544">
        <f t="shared" ca="1" si="574"/>
        <v>0</v>
      </c>
      <c r="Q5380" s="442"/>
      <c r="R5380" s="443"/>
      <c r="S5380" s="364"/>
      <c r="Z5380" s="609" t="s">
        <v>2105</v>
      </c>
      <c r="AA5380" s="609" t="s">
        <v>19</v>
      </c>
    </row>
    <row r="5381" spans="1:27" ht="17">
      <c r="A5381" s="2714"/>
      <c r="B5381" s="371">
        <v>108</v>
      </c>
      <c r="C5381" s="371"/>
      <c r="D5381" s="2716">
        <f t="shared" si="573"/>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4"/>
        <v>0</v>
      </c>
      <c r="Q5381" s="442"/>
      <c r="R5381" s="443"/>
      <c r="S5381" s="364"/>
      <c r="Z5381" s="609" t="s">
        <v>2105</v>
      </c>
      <c r="AA5381" s="609" t="s">
        <v>19</v>
      </c>
    </row>
    <row r="5382" spans="1:27" ht="17">
      <c r="A5382" s="2714"/>
      <c r="B5382" s="371">
        <v>109</v>
      </c>
      <c r="C5382" s="371" t="s">
        <v>2791</v>
      </c>
      <c r="D5382" s="2716">
        <f t="shared" si="573"/>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7.5" thickBot="1">
      <c r="A5383" s="2714"/>
      <c r="B5383" s="371"/>
      <c r="C5383" s="371"/>
      <c r="D5383" s="2716">
        <f t="shared" si="573"/>
        <v>1</v>
      </c>
      <c r="E5383" s="2721" t="s">
        <v>2751</v>
      </c>
      <c r="F5383" s="293"/>
      <c r="G5383" s="2234" t="s">
        <v>2752</v>
      </c>
      <c r="H5383" s="2325">
        <f t="shared" ref="H5383:M5383" si="575">SUMPRODUCT($E5373:$E5382,H5373:H5382)</f>
        <v>0</v>
      </c>
      <c r="I5383" s="2325">
        <f t="shared" si="575"/>
        <v>0</v>
      </c>
      <c r="J5383" s="2325">
        <f t="shared" si="575"/>
        <v>0</v>
      </c>
      <c r="K5383" s="2325">
        <f t="shared" si="575"/>
        <v>0</v>
      </c>
      <c r="L5383" s="2325">
        <f t="shared" si="575"/>
        <v>0</v>
      </c>
      <c r="M5383" s="2342">
        <f t="shared" si="575"/>
        <v>0</v>
      </c>
      <c r="N5383" s="439"/>
      <c r="P5383" s="1557">
        <f ca="1">SUM(P5374:P5382)</f>
        <v>18285.68</v>
      </c>
      <c r="Q5383" s="442"/>
      <c r="R5383" s="443"/>
      <c r="S5383" s="364"/>
      <c r="Z5383" s="609" t="s">
        <v>2105</v>
      </c>
      <c r="AA5383" s="609" t="s">
        <v>19</v>
      </c>
    </row>
    <row r="5384" spans="1:27" ht="17">
      <c r="A5384" s="2714"/>
      <c r="B5384" s="371"/>
      <c r="C5384" s="371" t="s">
        <v>2755</v>
      </c>
      <c r="D5384" s="2716"/>
      <c r="F5384" s="293"/>
      <c r="G5384" s="376"/>
      <c r="H5384" s="315"/>
      <c r="I5384" s="396"/>
      <c r="J5384" s="315"/>
      <c r="K5384" s="423"/>
      <c r="L5384" s="315"/>
      <c r="M5384" s="315"/>
      <c r="N5384" s="426"/>
      <c r="O5384" s="1585" t="s">
        <v>5496</v>
      </c>
      <c r="P5384" s="425"/>
      <c r="Q5384" s="442"/>
      <c r="R5384" s="443"/>
      <c r="S5384" s="364"/>
      <c r="Z5384" s="609" t="s">
        <v>2105</v>
      </c>
      <c r="AA5384" s="609" t="s">
        <v>19</v>
      </c>
    </row>
    <row r="5385" spans="1:27" ht="26">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5389</v>
      </c>
      <c r="I5386" s="371" t="s">
        <v>5531</v>
      </c>
      <c r="J5386" s="612" t="s">
        <v>5532</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5463</v>
      </c>
      <c r="I5387" s="371" t="s">
        <v>5529</v>
      </c>
      <c r="J5387" s="612" t="s">
        <v>5530</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161" t="s">
        <v>47</v>
      </c>
      <c r="H5388" s="3177" t="str">
        <f>$W$2&amp;"余额"</f>
        <v>2019年12月31日余额</v>
      </c>
      <c r="I5388" s="3206"/>
      <c r="J5388" s="3206"/>
      <c r="K5388" s="355" t="s">
        <v>5349</v>
      </c>
      <c r="L5388" s="1604"/>
      <c r="M5388" s="1604"/>
      <c r="N5388" s="1604"/>
      <c r="O5388" s="1604"/>
      <c r="P5388" s="1604"/>
      <c r="Q5388" s="1604"/>
      <c r="R5388" s="1604"/>
      <c r="S5388" s="364"/>
      <c r="Z5388" s="609" t="s">
        <v>2105</v>
      </c>
      <c r="AA5388" s="609" t="s">
        <v>19</v>
      </c>
    </row>
    <row r="5389" spans="1:27" ht="17">
      <c r="A5389" s="2714"/>
      <c r="B5389" s="371"/>
      <c r="C5389" s="371"/>
      <c r="D5389" s="2716"/>
      <c r="E5389" s="2716" t="s">
        <v>2749</v>
      </c>
      <c r="F5389" s="293"/>
      <c r="G5389" s="3162"/>
      <c r="H5389" s="2463" t="s">
        <v>4518</v>
      </c>
      <c r="I5389" s="2463" t="s">
        <v>2459</v>
      </c>
      <c r="J5389" s="1603" t="s">
        <v>5526</v>
      </c>
      <c r="K5389" s="355" t="s">
        <v>5533</v>
      </c>
      <c r="L5389" s="1604"/>
      <c r="M5389" s="1604"/>
      <c r="N5389" s="1604"/>
      <c r="O5389" s="1604"/>
      <c r="P5389" s="1604"/>
      <c r="Q5389" s="1604"/>
      <c r="R5389" s="1604"/>
      <c r="S5389" s="364"/>
      <c r="Z5389" s="609" t="s">
        <v>2105</v>
      </c>
      <c r="AA5389" s="609" t="s">
        <v>19</v>
      </c>
    </row>
    <row r="5390" spans="1:27" ht="17">
      <c r="A5390" s="2714"/>
      <c r="B5390" s="371">
        <v>101</v>
      </c>
      <c r="C5390" s="371"/>
      <c r="D5390" s="2716">
        <f t="shared" ref="D5390:D5417" si="576">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7">
      <c r="A5391" s="2714"/>
      <c r="B5391" s="371">
        <v>102</v>
      </c>
      <c r="C5391" s="371" t="s">
        <v>2791</v>
      </c>
      <c r="D5391" s="2716">
        <f t="shared" si="576"/>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7">
      <c r="A5392" s="2714"/>
      <c r="B5392" s="371">
        <v>103</v>
      </c>
      <c r="C5392" s="371" t="s">
        <v>2791</v>
      </c>
      <c r="D5392" s="2716">
        <f t="shared" si="576"/>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7">
      <c r="A5393" s="2714"/>
      <c r="B5393" s="371">
        <v>104</v>
      </c>
      <c r="C5393" s="371" t="s">
        <v>2791</v>
      </c>
      <c r="D5393" s="2716">
        <f t="shared" si="576"/>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7">
      <c r="A5394" s="2714"/>
      <c r="B5394" s="371">
        <v>105</v>
      </c>
      <c r="C5394" s="371" t="s">
        <v>2791</v>
      </c>
      <c r="D5394" s="2716">
        <f t="shared" si="576"/>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7">
      <c r="A5395" s="2714"/>
      <c r="B5395" s="371">
        <v>106</v>
      </c>
      <c r="C5395" s="371"/>
      <c r="D5395" s="2716">
        <f t="shared" si="576"/>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7">
      <c r="A5396" s="2714"/>
      <c r="B5396" s="371">
        <v>107</v>
      </c>
      <c r="C5396" s="371" t="s">
        <v>2791</v>
      </c>
      <c r="D5396" s="2716">
        <f t="shared" si="576"/>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7">
      <c r="A5397" s="2714"/>
      <c r="B5397" s="371">
        <v>108</v>
      </c>
      <c r="C5397" s="371" t="s">
        <v>2791</v>
      </c>
      <c r="D5397" s="2716">
        <f t="shared" si="576"/>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7">
      <c r="A5398" s="2714"/>
      <c r="B5398" s="371">
        <v>109</v>
      </c>
      <c r="C5398" s="371" t="s">
        <v>2791</v>
      </c>
      <c r="D5398" s="2716">
        <f t="shared" si="576"/>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7">
      <c r="A5399" s="2714"/>
      <c r="B5399" s="371">
        <v>110</v>
      </c>
      <c r="C5399" s="371" t="s">
        <v>2791</v>
      </c>
      <c r="D5399" s="2716">
        <f t="shared" si="576"/>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7">
      <c r="A5400" s="2714"/>
      <c r="B5400" s="371">
        <v>111</v>
      </c>
      <c r="C5400" s="371"/>
      <c r="D5400" s="2716">
        <f t="shared" si="576"/>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7">
      <c r="A5401" s="2714"/>
      <c r="B5401" s="371">
        <v>112</v>
      </c>
      <c r="C5401" s="371" t="s">
        <v>2791</v>
      </c>
      <c r="D5401" s="2716">
        <f t="shared" si="576"/>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7">
      <c r="A5402" s="2714"/>
      <c r="B5402" s="371">
        <v>113</v>
      </c>
      <c r="C5402" s="371" t="s">
        <v>2791</v>
      </c>
      <c r="D5402" s="2716">
        <f t="shared" si="576"/>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7">
      <c r="A5403" s="2714"/>
      <c r="B5403" s="371">
        <v>114</v>
      </c>
      <c r="C5403" s="371" t="s">
        <v>2791</v>
      </c>
      <c r="D5403" s="2716">
        <f t="shared" si="576"/>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7">
      <c r="A5404" s="2714"/>
      <c r="B5404" s="371">
        <v>115</v>
      </c>
      <c r="C5404" s="371" t="s">
        <v>2791</v>
      </c>
      <c r="D5404" s="2716">
        <f t="shared" si="576"/>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7">
      <c r="A5405" s="2714"/>
      <c r="B5405" s="371">
        <v>116</v>
      </c>
      <c r="C5405" s="371"/>
      <c r="D5405" s="2716">
        <f t="shared" si="576"/>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7">
      <c r="A5406" s="2714"/>
      <c r="B5406" s="371">
        <v>117</v>
      </c>
      <c r="C5406" s="371" t="s">
        <v>2791</v>
      </c>
      <c r="D5406" s="2716">
        <f t="shared" si="576"/>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7">
      <c r="A5407" s="2714"/>
      <c r="B5407" s="371">
        <v>118</v>
      </c>
      <c r="C5407" s="371" t="s">
        <v>2791</v>
      </c>
      <c r="D5407" s="2716">
        <f t="shared" si="576"/>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7">
      <c r="A5408" s="2714"/>
      <c r="B5408" s="371">
        <v>119</v>
      </c>
      <c r="C5408" s="371" t="s">
        <v>2791</v>
      </c>
      <c r="D5408" s="2716">
        <f t="shared" si="576"/>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7">
      <c r="A5409" s="2714"/>
      <c r="B5409" s="371">
        <v>120</v>
      </c>
      <c r="C5409" s="371" t="s">
        <v>2791</v>
      </c>
      <c r="D5409" s="2716">
        <f t="shared" si="576"/>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7">
      <c r="A5410" s="2714"/>
      <c r="B5410" s="371">
        <v>121</v>
      </c>
      <c r="C5410" s="371"/>
      <c r="D5410" s="2716">
        <f t="shared" si="576"/>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7">
      <c r="A5411" s="2714"/>
      <c r="B5411" s="371">
        <v>122</v>
      </c>
      <c r="C5411" s="371" t="s">
        <v>2791</v>
      </c>
      <c r="D5411" s="2716">
        <f t="shared" si="576"/>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7">
      <c r="A5412" s="2714"/>
      <c r="B5412" s="371">
        <v>123</v>
      </c>
      <c r="C5412" s="371" t="s">
        <v>2791</v>
      </c>
      <c r="D5412" s="2716">
        <f t="shared" si="576"/>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7">
      <c r="A5413" s="2714"/>
      <c r="B5413" s="371">
        <v>124</v>
      </c>
      <c r="C5413" s="371" t="s">
        <v>2791</v>
      </c>
      <c r="D5413" s="2716">
        <f t="shared" si="576"/>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7">
      <c r="A5414" s="2714"/>
      <c r="B5414" s="371">
        <v>125</v>
      </c>
      <c r="C5414" s="371" t="s">
        <v>2791</v>
      </c>
      <c r="D5414" s="2716">
        <f t="shared" si="576"/>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7">
      <c r="A5415" s="2714"/>
      <c r="B5415" s="371">
        <v>126</v>
      </c>
      <c r="C5415" s="371" t="s">
        <v>2791</v>
      </c>
      <c r="D5415" s="2716">
        <f t="shared" si="576"/>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7">
      <c r="A5416" s="2714"/>
      <c r="B5416" s="371">
        <v>127</v>
      </c>
      <c r="C5416" s="371" t="s">
        <v>6534</v>
      </c>
      <c r="D5416" s="2716">
        <f t="shared" si="576"/>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7.5" thickBot="1">
      <c r="A5417" s="2714"/>
      <c r="B5417" s="371"/>
      <c r="C5417" s="371"/>
      <c r="D5417" s="2716">
        <f t="shared" si="576"/>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7">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6">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5538</v>
      </c>
      <c r="I5420" s="371" t="s">
        <v>5535</v>
      </c>
      <c r="J5420" s="612" t="s">
        <v>5536</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5527</v>
      </c>
      <c r="I5421" s="371" t="s">
        <v>5528</v>
      </c>
      <c r="J5421" s="612" t="s">
        <v>5534</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161" t="s">
        <v>47</v>
      </c>
      <c r="H5422" s="3177" t="str">
        <f>$W$3&amp;"余额"</f>
        <v>2018年12月31日余额</v>
      </c>
      <c r="I5422" s="3206"/>
      <c r="J5422" s="3206"/>
      <c r="K5422" s="355" t="s">
        <v>5349</v>
      </c>
      <c r="L5422" s="1512"/>
      <c r="M5422" s="1512"/>
      <c r="N5422" s="428"/>
      <c r="O5422" s="428"/>
      <c r="P5422" s="433"/>
      <c r="Q5422" s="442"/>
      <c r="R5422" s="443"/>
      <c r="S5422" s="364"/>
      <c r="Z5422" s="609" t="s">
        <v>2105</v>
      </c>
      <c r="AA5422" s="609" t="s">
        <v>19</v>
      </c>
    </row>
    <row r="5423" spans="1:27" ht="17">
      <c r="A5423" s="2714"/>
      <c r="B5423" s="371"/>
      <c r="C5423" s="371"/>
      <c r="D5423" s="2716"/>
      <c r="E5423" s="2716" t="s">
        <v>2749</v>
      </c>
      <c r="F5423" s="293"/>
      <c r="G5423" s="3162"/>
      <c r="H5423" s="2463" t="s">
        <v>4518</v>
      </c>
      <c r="I5423" s="2463" t="s">
        <v>2459</v>
      </c>
      <c r="J5423" s="1603" t="s">
        <v>5537</v>
      </c>
      <c r="K5423" s="355" t="s">
        <v>5533</v>
      </c>
      <c r="L5423" s="434"/>
      <c r="M5423" s="1511"/>
      <c r="N5423" s="434"/>
      <c r="O5423" s="434"/>
      <c r="P5423" s="435"/>
      <c r="Q5423" s="442"/>
      <c r="R5423" s="443"/>
      <c r="S5423" s="364"/>
      <c r="Z5423" s="609" t="s">
        <v>2105</v>
      </c>
      <c r="AA5423" s="609" t="s">
        <v>19</v>
      </c>
    </row>
    <row r="5424" spans="1:27" ht="17">
      <c r="A5424" s="2714"/>
      <c r="B5424" s="371">
        <v>101</v>
      </c>
      <c r="C5424" s="371"/>
      <c r="D5424" s="2716">
        <f t="shared" ref="D5424:D5451" si="577">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7">
      <c r="A5425" s="2714"/>
      <c r="B5425" s="371">
        <v>102</v>
      </c>
      <c r="C5425" s="371" t="s">
        <v>2791</v>
      </c>
      <c r="D5425" s="2716">
        <f t="shared" si="577"/>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7">
      <c r="A5426" s="2714"/>
      <c r="B5426" s="371">
        <v>103</v>
      </c>
      <c r="C5426" s="371" t="s">
        <v>2791</v>
      </c>
      <c r="D5426" s="2716">
        <f t="shared" si="577"/>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7">
      <c r="A5427" s="2714"/>
      <c r="B5427" s="371">
        <v>104</v>
      </c>
      <c r="C5427" s="371" t="s">
        <v>2791</v>
      </c>
      <c r="D5427" s="2716">
        <f t="shared" si="577"/>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7">
      <c r="A5428" s="2714"/>
      <c r="B5428" s="371">
        <v>105</v>
      </c>
      <c r="C5428" s="371" t="s">
        <v>2791</v>
      </c>
      <c r="D5428" s="2716">
        <f t="shared" si="577"/>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7">
      <c r="A5429" s="2714"/>
      <c r="B5429" s="371">
        <v>106</v>
      </c>
      <c r="C5429" s="371"/>
      <c r="D5429" s="2716">
        <f t="shared" si="577"/>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7">
      <c r="A5430" s="2714"/>
      <c r="B5430" s="371">
        <v>107</v>
      </c>
      <c r="C5430" s="371" t="s">
        <v>2791</v>
      </c>
      <c r="D5430" s="2716">
        <f t="shared" si="577"/>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7">
      <c r="A5431" s="2714"/>
      <c r="B5431" s="371">
        <v>108</v>
      </c>
      <c r="C5431" s="371" t="s">
        <v>2791</v>
      </c>
      <c r="D5431" s="2716">
        <f t="shared" si="577"/>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7">
      <c r="A5432" s="2714"/>
      <c r="B5432" s="371">
        <v>109</v>
      </c>
      <c r="C5432" s="371" t="s">
        <v>2791</v>
      </c>
      <c r="D5432" s="2716">
        <f t="shared" si="577"/>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7">
      <c r="A5433" s="2714"/>
      <c r="B5433" s="371">
        <v>110</v>
      </c>
      <c r="C5433" s="371" t="s">
        <v>2791</v>
      </c>
      <c r="D5433" s="2716">
        <f t="shared" si="577"/>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7">
      <c r="A5434" s="2714"/>
      <c r="B5434" s="371">
        <v>111</v>
      </c>
      <c r="C5434" s="371"/>
      <c r="D5434" s="2716">
        <f t="shared" si="577"/>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7">
      <c r="A5435" s="2714"/>
      <c r="B5435" s="371">
        <v>112</v>
      </c>
      <c r="C5435" s="371" t="s">
        <v>2791</v>
      </c>
      <c r="D5435" s="2716">
        <f t="shared" si="577"/>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7">
      <c r="A5436" s="2714"/>
      <c r="B5436" s="371">
        <v>113</v>
      </c>
      <c r="C5436" s="371" t="s">
        <v>2791</v>
      </c>
      <c r="D5436" s="2716">
        <f t="shared" si="577"/>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7">
      <c r="A5437" s="2714"/>
      <c r="B5437" s="371">
        <v>114</v>
      </c>
      <c r="C5437" s="371" t="s">
        <v>2791</v>
      </c>
      <c r="D5437" s="2716">
        <f t="shared" si="577"/>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7">
      <c r="A5438" s="2714"/>
      <c r="B5438" s="371">
        <v>115</v>
      </c>
      <c r="C5438" s="371" t="s">
        <v>2791</v>
      </c>
      <c r="D5438" s="2716">
        <f t="shared" si="577"/>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7">
      <c r="A5439" s="2714"/>
      <c r="B5439" s="371">
        <v>116</v>
      </c>
      <c r="C5439" s="371"/>
      <c r="D5439" s="2716">
        <f t="shared" si="577"/>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7">
      <c r="A5440" s="2714"/>
      <c r="B5440" s="371">
        <v>117</v>
      </c>
      <c r="C5440" s="371" t="s">
        <v>2791</v>
      </c>
      <c r="D5440" s="2716">
        <f t="shared" si="577"/>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7">
      <c r="A5441" s="2714"/>
      <c r="B5441" s="371">
        <v>118</v>
      </c>
      <c r="C5441" s="371" t="s">
        <v>2791</v>
      </c>
      <c r="D5441" s="2716">
        <f t="shared" si="577"/>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7">
      <c r="A5442" s="2714"/>
      <c r="B5442" s="371">
        <v>119</v>
      </c>
      <c r="C5442" s="371" t="s">
        <v>2791</v>
      </c>
      <c r="D5442" s="2716">
        <f t="shared" si="577"/>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7">
      <c r="A5443" s="2714"/>
      <c r="B5443" s="371">
        <v>120</v>
      </c>
      <c r="C5443" s="371" t="s">
        <v>2791</v>
      </c>
      <c r="D5443" s="2716">
        <f t="shared" si="577"/>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7">
      <c r="A5444" s="2714"/>
      <c r="B5444" s="371">
        <v>121</v>
      </c>
      <c r="C5444" s="371"/>
      <c r="D5444" s="2716">
        <f t="shared" si="577"/>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7">
      <c r="A5445" s="2714"/>
      <c r="B5445" s="371">
        <v>122</v>
      </c>
      <c r="C5445" s="371" t="s">
        <v>2791</v>
      </c>
      <c r="D5445" s="2716">
        <f t="shared" si="577"/>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7">
      <c r="A5446" s="2714"/>
      <c r="B5446" s="371">
        <v>123</v>
      </c>
      <c r="C5446" s="371" t="s">
        <v>2791</v>
      </c>
      <c r="D5446" s="2716">
        <f t="shared" si="577"/>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7">
      <c r="A5447" s="2714"/>
      <c r="B5447" s="371">
        <v>124</v>
      </c>
      <c r="C5447" s="371" t="s">
        <v>2791</v>
      </c>
      <c r="D5447" s="2716">
        <f t="shared" si="577"/>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7">
      <c r="A5448" s="2714"/>
      <c r="B5448" s="371">
        <v>125</v>
      </c>
      <c r="C5448" s="371" t="s">
        <v>2791</v>
      </c>
      <c r="D5448" s="2716">
        <f t="shared" si="577"/>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7">
      <c r="A5449" s="2714"/>
      <c r="B5449" s="371">
        <v>126</v>
      </c>
      <c r="C5449" s="371" t="s">
        <v>2791</v>
      </c>
      <c r="D5449" s="2716">
        <f t="shared" si="577"/>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7">
      <c r="A5450" s="2714"/>
      <c r="B5450" s="371">
        <v>127</v>
      </c>
      <c r="C5450" s="371" t="s">
        <v>6534</v>
      </c>
      <c r="D5450" s="2716">
        <f t="shared" si="577"/>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7.5" thickBot="1">
      <c r="A5451" s="2714"/>
      <c r="B5451" s="371"/>
      <c r="C5451" s="371"/>
      <c r="D5451" s="2716">
        <f t="shared" si="577"/>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7">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7">
      <c r="A5453" s="2714">
        <v>9331</v>
      </c>
      <c r="B5453" s="371" t="s">
        <v>6571</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6">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84"/>
      <c r="L5454" s="315"/>
      <c r="M5454" s="301"/>
      <c r="N5454" s="3084"/>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145" t="s">
        <v>47</v>
      </c>
      <c r="H5457" s="3207" t="str">
        <f>$W$2&amp;"公允价值"</f>
        <v>2019年12月31日公允价值</v>
      </c>
      <c r="I5457" s="3207"/>
      <c r="J5457" s="3207"/>
      <c r="K5457" s="3208"/>
      <c r="L5457" s="355" t="s">
        <v>5350</v>
      </c>
      <c r="M5457" s="291"/>
      <c r="N5457" s="291"/>
      <c r="O5457" s="291"/>
      <c r="P5457" s="291"/>
      <c r="S5457" s="364"/>
      <c r="Z5457" s="609" t="s">
        <v>2129</v>
      </c>
      <c r="AA5457" s="609"/>
    </row>
    <row r="5458" spans="1:27" ht="26">
      <c r="A5458" s="2714"/>
      <c r="B5458" s="371"/>
      <c r="C5458" s="371"/>
      <c r="D5458" s="371"/>
      <c r="E5458" s="586" t="s">
        <v>2749</v>
      </c>
      <c r="F5458" s="363"/>
      <c r="G5458" s="3146"/>
      <c r="H5458" s="2584" t="s">
        <v>4531</v>
      </c>
      <c r="I5458" s="2584" t="s">
        <v>4532</v>
      </c>
      <c r="J5458" s="2584" t="s">
        <v>4533</v>
      </c>
      <c r="K5458" s="2588" t="s">
        <v>3351</v>
      </c>
      <c r="M5458" s="291"/>
      <c r="N5458" s="291"/>
      <c r="O5458" s="291"/>
      <c r="P5458" s="291"/>
      <c r="S5458" s="364"/>
      <c r="Z5458" s="609" t="s">
        <v>2129</v>
      </c>
      <c r="AA5458" s="609"/>
    </row>
    <row r="5459" spans="1:27" ht="17">
      <c r="A5459" s="2714"/>
      <c r="B5459" s="371">
        <v>101</v>
      </c>
      <c r="C5459" s="371"/>
      <c r="D5459" s="2716">
        <f t="shared" ref="D5459:D5498" si="578">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7">
      <c r="A5460" s="2714"/>
      <c r="B5460" s="371">
        <v>102</v>
      </c>
      <c r="C5460" s="371"/>
      <c r="D5460" s="2716">
        <f t="shared" si="578"/>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6">
      <c r="A5461" s="2714"/>
      <c r="B5461" s="371">
        <v>103</v>
      </c>
      <c r="C5461" s="371"/>
      <c r="D5461" s="2716">
        <f t="shared" si="578"/>
        <v>1</v>
      </c>
      <c r="E5461" s="2721">
        <v>1</v>
      </c>
      <c r="F5461" s="294"/>
      <c r="G5461" s="1474" t="s">
        <v>4536</v>
      </c>
      <c r="H5461" s="1476">
        <f>SUM(H5462:H5465)</f>
        <v>0</v>
      </c>
      <c r="I5461" s="1476">
        <f>SUM(I5462:I5465)</f>
        <v>0</v>
      </c>
      <c r="J5461" s="1476">
        <f>SUM(J5462:J5465)</f>
        <v>0</v>
      </c>
      <c r="K5461" s="1477">
        <f t="shared" ref="K5461:K5497" si="579">SUM(H5461:J5461)</f>
        <v>0</v>
      </c>
      <c r="M5461" s="291"/>
      <c r="N5461" s="291"/>
      <c r="O5461" s="291"/>
      <c r="P5461" s="291"/>
      <c r="S5461" s="364"/>
      <c r="Z5461" s="609" t="s">
        <v>2129</v>
      </c>
      <c r="AA5461" s="609"/>
    </row>
    <row r="5462" spans="1:27" ht="17">
      <c r="A5462" s="2714"/>
      <c r="B5462" s="371">
        <v>104</v>
      </c>
      <c r="C5462" s="371"/>
      <c r="D5462" s="2716">
        <f t="shared" si="578"/>
        <v>1</v>
      </c>
      <c r="E5462" s="2721">
        <v>1</v>
      </c>
      <c r="F5462" s="294"/>
      <c r="G5462" s="1474" t="s">
        <v>6162</v>
      </c>
      <c r="H5462" s="2275"/>
      <c r="I5462" s="2275"/>
      <c r="J5462" s="2275"/>
      <c r="K5462" s="1477">
        <f t="shared" si="579"/>
        <v>0</v>
      </c>
      <c r="M5462" s="291"/>
      <c r="N5462" s="291"/>
      <c r="O5462" s="291"/>
      <c r="P5462" s="291"/>
      <c r="S5462" s="364"/>
      <c r="Z5462" s="609" t="s">
        <v>2129</v>
      </c>
      <c r="AA5462" s="609"/>
    </row>
    <row r="5463" spans="1:27" ht="17">
      <c r="A5463" s="2714"/>
      <c r="B5463" s="371">
        <v>105</v>
      </c>
      <c r="C5463" s="371"/>
      <c r="D5463" s="2716">
        <f t="shared" si="578"/>
        <v>1</v>
      </c>
      <c r="E5463" s="2721">
        <v>1</v>
      </c>
      <c r="F5463" s="294"/>
      <c r="G5463" s="1474" t="s">
        <v>4537</v>
      </c>
      <c r="H5463" s="2275"/>
      <c r="I5463" s="2275"/>
      <c r="J5463" s="2275"/>
      <c r="K5463" s="1477">
        <f t="shared" si="579"/>
        <v>0</v>
      </c>
      <c r="M5463" s="291"/>
      <c r="N5463" s="291"/>
      <c r="O5463" s="291"/>
      <c r="P5463" s="291"/>
      <c r="S5463" s="364"/>
      <c r="Z5463" s="609" t="s">
        <v>2129</v>
      </c>
      <c r="AA5463" s="609"/>
    </row>
    <row r="5464" spans="1:27" ht="17">
      <c r="A5464" s="2714"/>
      <c r="B5464" s="371">
        <v>106</v>
      </c>
      <c r="C5464" s="371"/>
      <c r="D5464" s="2716">
        <f t="shared" si="578"/>
        <v>1</v>
      </c>
      <c r="E5464" s="2721">
        <v>1</v>
      </c>
      <c r="F5464" s="294"/>
      <c r="G5464" s="1474" t="s">
        <v>4538</v>
      </c>
      <c r="H5464" s="2275"/>
      <c r="I5464" s="2275"/>
      <c r="J5464" s="2275"/>
      <c r="K5464" s="1477">
        <f t="shared" ref="K5464" si="580">SUM(H5464:J5464)</f>
        <v>0</v>
      </c>
      <c r="M5464" s="291"/>
      <c r="N5464" s="291"/>
      <c r="O5464" s="291"/>
      <c r="P5464" s="291"/>
      <c r="S5464" s="364"/>
      <c r="Z5464" s="609" t="s">
        <v>2129</v>
      </c>
      <c r="AA5464" s="609"/>
    </row>
    <row r="5465" spans="1:27" ht="17">
      <c r="A5465" s="2714"/>
      <c r="B5465" s="371">
        <v>107</v>
      </c>
      <c r="C5465" s="371" t="s">
        <v>2791</v>
      </c>
      <c r="D5465" s="2716">
        <f t="shared" si="578"/>
        <v>0</v>
      </c>
      <c r="E5465" s="2721">
        <v>1</v>
      </c>
      <c r="F5465" s="294"/>
      <c r="G5465" s="2589" t="s">
        <v>6169</v>
      </c>
      <c r="H5465" s="2275"/>
      <c r="I5465" s="2275"/>
      <c r="J5465" s="2275"/>
      <c r="K5465" s="1477">
        <f t="shared" si="579"/>
        <v>0</v>
      </c>
      <c r="M5465" s="291"/>
      <c r="N5465" s="291"/>
      <c r="O5465" s="291"/>
      <c r="P5465" s="291"/>
      <c r="S5465" s="364"/>
      <c r="Z5465" s="609" t="s">
        <v>2129</v>
      </c>
      <c r="AA5465" s="609"/>
    </row>
    <row r="5466" spans="1:27" ht="39">
      <c r="A5466" s="2714"/>
      <c r="B5466" s="371">
        <v>108</v>
      </c>
      <c r="C5466" s="371"/>
      <c r="D5466" s="2716">
        <f t="shared" si="578"/>
        <v>1</v>
      </c>
      <c r="E5466" s="2721">
        <v>1</v>
      </c>
      <c r="F5466" s="294"/>
      <c r="G5466" s="1474" t="s">
        <v>4539</v>
      </c>
      <c r="H5466" s="1476">
        <f>SUM(H5467:H5469)</f>
        <v>0</v>
      </c>
      <c r="I5466" s="1476">
        <f>SUM(I5467:I5469)</f>
        <v>0</v>
      </c>
      <c r="J5466" s="1476">
        <f>SUM(J5467:J5469)</f>
        <v>0</v>
      </c>
      <c r="K5466" s="1477">
        <f t="shared" si="579"/>
        <v>0</v>
      </c>
      <c r="M5466" s="291"/>
      <c r="N5466" s="291"/>
      <c r="O5466" s="291"/>
      <c r="P5466" s="291"/>
      <c r="S5466" s="364"/>
      <c r="Z5466" s="609" t="s">
        <v>2129</v>
      </c>
      <c r="AA5466" s="609"/>
    </row>
    <row r="5467" spans="1:27" ht="17">
      <c r="A5467" s="2714"/>
      <c r="B5467" s="371">
        <v>109</v>
      </c>
      <c r="C5467" s="371"/>
      <c r="D5467" s="2716">
        <f t="shared" si="578"/>
        <v>1</v>
      </c>
      <c r="E5467" s="2721">
        <v>1</v>
      </c>
      <c r="F5467" s="294"/>
      <c r="G5467" s="1474" t="s">
        <v>6163</v>
      </c>
      <c r="H5467" s="2275"/>
      <c r="I5467" s="2275"/>
      <c r="J5467" s="2275"/>
      <c r="K5467" s="1477">
        <f t="shared" si="579"/>
        <v>0</v>
      </c>
      <c r="M5467" s="291"/>
      <c r="N5467" s="291"/>
      <c r="O5467" s="291"/>
      <c r="P5467" s="291"/>
      <c r="S5467" s="364"/>
      <c r="Z5467" s="609" t="s">
        <v>2129</v>
      </c>
      <c r="AA5467" s="609"/>
    </row>
    <row r="5468" spans="1:27" ht="17">
      <c r="A5468" s="2714"/>
      <c r="B5468" s="371">
        <v>110</v>
      </c>
      <c r="C5468" s="371"/>
      <c r="D5468" s="2716">
        <f t="shared" si="578"/>
        <v>1</v>
      </c>
      <c r="E5468" s="2721">
        <v>1</v>
      </c>
      <c r="F5468" s="294"/>
      <c r="G5468" s="1474" t="s">
        <v>4540</v>
      </c>
      <c r="H5468" s="2275"/>
      <c r="I5468" s="2275"/>
      <c r="J5468" s="2275"/>
      <c r="K5468" s="1477">
        <f t="shared" ref="K5468" si="581">SUM(H5468:J5468)</f>
        <v>0</v>
      </c>
      <c r="M5468" s="291"/>
      <c r="N5468" s="291"/>
      <c r="O5468" s="291"/>
      <c r="P5468" s="291"/>
      <c r="S5468" s="364"/>
      <c r="Z5468" s="609" t="s">
        <v>2129</v>
      </c>
      <c r="AA5468" s="609"/>
    </row>
    <row r="5469" spans="1:27" ht="17">
      <c r="A5469" s="2714"/>
      <c r="B5469" s="371">
        <v>111</v>
      </c>
      <c r="C5469" s="371" t="s">
        <v>2791</v>
      </c>
      <c r="D5469" s="2716">
        <f t="shared" si="578"/>
        <v>0</v>
      </c>
      <c r="E5469" s="2721">
        <v>1</v>
      </c>
      <c r="F5469" s="294"/>
      <c r="G5469" s="2589" t="s">
        <v>6169</v>
      </c>
      <c r="H5469" s="2275"/>
      <c r="I5469" s="2275"/>
      <c r="J5469" s="2275"/>
      <c r="K5469" s="1477">
        <f t="shared" si="579"/>
        <v>0</v>
      </c>
      <c r="M5469" s="291"/>
      <c r="N5469" s="291"/>
      <c r="O5469" s="291"/>
      <c r="P5469" s="291"/>
      <c r="S5469" s="364"/>
      <c r="Z5469" s="609" t="s">
        <v>2129</v>
      </c>
      <c r="AA5469" s="609"/>
    </row>
    <row r="5470" spans="1:27" ht="17">
      <c r="A5470" s="2714"/>
      <c r="B5470" s="371">
        <v>112</v>
      </c>
      <c r="C5470" s="371"/>
      <c r="D5470" s="2716">
        <f t="shared" si="578"/>
        <v>1</v>
      </c>
      <c r="E5470" s="2721">
        <v>1</v>
      </c>
      <c r="F5470" s="294"/>
      <c r="G5470" s="1474" t="s">
        <v>4541</v>
      </c>
      <c r="H5470" s="2275"/>
      <c r="I5470" s="2275"/>
      <c r="J5470" s="2275"/>
      <c r="K5470" s="1477">
        <f t="shared" si="579"/>
        <v>0</v>
      </c>
      <c r="M5470" s="291"/>
      <c r="N5470" s="291"/>
      <c r="O5470" s="291"/>
      <c r="P5470" s="291"/>
      <c r="S5470" s="364"/>
      <c r="Z5470" s="609" t="s">
        <v>2129</v>
      </c>
      <c r="AA5470" s="609"/>
    </row>
    <row r="5471" spans="1:27" ht="17">
      <c r="A5471" s="2714"/>
      <c r="B5471" s="371">
        <v>113</v>
      </c>
      <c r="C5471" s="371"/>
      <c r="D5471" s="2716">
        <f t="shared" si="578"/>
        <v>1</v>
      </c>
      <c r="E5471" s="2721">
        <v>1</v>
      </c>
      <c r="F5471" s="294"/>
      <c r="G5471" s="1474" t="s">
        <v>4542</v>
      </c>
      <c r="H5471" s="2275"/>
      <c r="I5471" s="2275"/>
      <c r="J5471" s="2275"/>
      <c r="K5471" s="1477">
        <f t="shared" si="579"/>
        <v>0</v>
      </c>
      <c r="M5471" s="291"/>
      <c r="N5471" s="291"/>
      <c r="O5471" s="291"/>
      <c r="P5471" s="291"/>
      <c r="S5471" s="364"/>
      <c r="Z5471" s="609" t="s">
        <v>2129</v>
      </c>
      <c r="AA5471" s="609"/>
    </row>
    <row r="5472" spans="1:27" ht="17">
      <c r="A5472" s="2714"/>
      <c r="B5472" s="371">
        <v>114</v>
      </c>
      <c r="C5472" s="371"/>
      <c r="D5472" s="2716">
        <f t="shared" si="578"/>
        <v>1</v>
      </c>
      <c r="E5472" s="2721">
        <v>1</v>
      </c>
      <c r="F5472" s="294"/>
      <c r="G5472" s="1474" t="s">
        <v>4543</v>
      </c>
      <c r="H5472" s="2275"/>
      <c r="I5472" s="2275"/>
      <c r="J5472" s="2275"/>
      <c r="K5472" s="1477">
        <f t="shared" si="579"/>
        <v>0</v>
      </c>
      <c r="M5472" s="291"/>
      <c r="N5472" s="291"/>
      <c r="O5472" s="291"/>
      <c r="P5472" s="291"/>
      <c r="S5472" s="364"/>
      <c r="Z5472" s="609" t="s">
        <v>2129</v>
      </c>
      <c r="AA5472" s="609"/>
    </row>
    <row r="5473" spans="1:27" ht="17">
      <c r="A5473" s="2714"/>
      <c r="B5473" s="371">
        <v>115</v>
      </c>
      <c r="C5473" s="371"/>
      <c r="D5473" s="2716">
        <f t="shared" si="578"/>
        <v>1</v>
      </c>
      <c r="E5473" s="2721">
        <v>1</v>
      </c>
      <c r="F5473" s="294"/>
      <c r="G5473" s="1474" t="s">
        <v>4544</v>
      </c>
      <c r="H5473" s="1476">
        <f>SUM(H5474:H5477)</f>
        <v>0</v>
      </c>
      <c r="I5473" s="1476">
        <f t="shared" ref="I5473:J5473" si="582">SUM(I5474:I5477)</f>
        <v>0</v>
      </c>
      <c r="J5473" s="1476">
        <f t="shared" si="582"/>
        <v>0</v>
      </c>
      <c r="K5473" s="1477">
        <f t="shared" si="579"/>
        <v>0</v>
      </c>
      <c r="M5473" s="291"/>
      <c r="N5473" s="291"/>
      <c r="O5473" s="291"/>
      <c r="P5473" s="291"/>
      <c r="S5473" s="364"/>
      <c r="Z5473" s="609" t="s">
        <v>2129</v>
      </c>
      <c r="AA5473" s="609"/>
    </row>
    <row r="5474" spans="1:27" ht="17">
      <c r="A5474" s="2714"/>
      <c r="B5474" s="371">
        <v>116</v>
      </c>
      <c r="C5474" s="371"/>
      <c r="D5474" s="2716">
        <f t="shared" si="578"/>
        <v>1</v>
      </c>
      <c r="E5474" s="2721">
        <v>1</v>
      </c>
      <c r="F5474" s="294"/>
      <c r="G5474" s="1474" t="s">
        <v>4545</v>
      </c>
      <c r="H5474" s="2275"/>
      <c r="I5474" s="2275"/>
      <c r="J5474" s="2275"/>
      <c r="K5474" s="1477">
        <f t="shared" si="579"/>
        <v>0</v>
      </c>
      <c r="M5474" s="291"/>
      <c r="N5474" s="291"/>
      <c r="O5474" s="291"/>
      <c r="P5474" s="291"/>
      <c r="S5474" s="364"/>
      <c r="Z5474" s="609" t="s">
        <v>2129</v>
      </c>
      <c r="AA5474" s="609"/>
    </row>
    <row r="5475" spans="1:27" ht="17">
      <c r="A5475" s="2714"/>
      <c r="B5475" s="371">
        <v>117</v>
      </c>
      <c r="C5475" s="371"/>
      <c r="D5475" s="2716">
        <f t="shared" si="578"/>
        <v>1</v>
      </c>
      <c r="E5475" s="2721">
        <v>1</v>
      </c>
      <c r="F5475" s="294"/>
      <c r="G5475" s="1474" t="s">
        <v>4546</v>
      </c>
      <c r="H5475" s="2275"/>
      <c r="I5475" s="2275"/>
      <c r="J5475" s="2275"/>
      <c r="K5475" s="1477">
        <f t="shared" si="579"/>
        <v>0</v>
      </c>
      <c r="M5475" s="291"/>
      <c r="N5475" s="291"/>
      <c r="O5475" s="291"/>
      <c r="P5475" s="291"/>
      <c r="S5475" s="364"/>
      <c r="Z5475" s="609" t="s">
        <v>2129</v>
      </c>
      <c r="AA5475" s="609"/>
    </row>
    <row r="5476" spans="1:27" ht="26">
      <c r="A5476" s="2714"/>
      <c r="B5476" s="371">
        <v>118</v>
      </c>
      <c r="C5476" s="371"/>
      <c r="D5476" s="2716">
        <f t="shared" si="578"/>
        <v>1</v>
      </c>
      <c r="E5476" s="2721">
        <v>1</v>
      </c>
      <c r="F5476" s="294"/>
      <c r="G5476" s="1474" t="s">
        <v>4547</v>
      </c>
      <c r="H5476" s="2275"/>
      <c r="I5476" s="2275"/>
      <c r="J5476" s="2275"/>
      <c r="K5476" s="1477">
        <f t="shared" ref="K5476" si="583">SUM(H5476:J5476)</f>
        <v>0</v>
      </c>
      <c r="M5476" s="291"/>
      <c r="N5476" s="291"/>
      <c r="O5476" s="291"/>
      <c r="P5476" s="291"/>
      <c r="S5476" s="364"/>
      <c r="Z5476" s="609" t="s">
        <v>2129</v>
      </c>
      <c r="AA5476" s="609"/>
    </row>
    <row r="5477" spans="1:27" ht="17">
      <c r="A5477" s="2714"/>
      <c r="B5477" s="371">
        <v>119</v>
      </c>
      <c r="C5477" s="371" t="s">
        <v>2791</v>
      </c>
      <c r="D5477" s="2716">
        <f t="shared" si="578"/>
        <v>0</v>
      </c>
      <c r="E5477" s="2721">
        <v>1</v>
      </c>
      <c r="F5477" s="294"/>
      <c r="G5477" s="2589" t="s">
        <v>6169</v>
      </c>
      <c r="H5477" s="2275"/>
      <c r="I5477" s="2275"/>
      <c r="J5477" s="2275"/>
      <c r="K5477" s="1477">
        <f t="shared" si="579"/>
        <v>0</v>
      </c>
      <c r="M5477" s="291"/>
      <c r="N5477" s="291"/>
      <c r="O5477" s="291"/>
      <c r="P5477" s="291"/>
      <c r="S5477" s="364"/>
      <c r="Z5477" s="609" t="s">
        <v>2129</v>
      </c>
      <c r="AA5477" s="609"/>
    </row>
    <row r="5478" spans="1:27" ht="17">
      <c r="A5478" s="2714"/>
      <c r="B5478" s="371">
        <v>120</v>
      </c>
      <c r="C5478" s="371"/>
      <c r="D5478" s="2716">
        <f t="shared" si="578"/>
        <v>1</v>
      </c>
      <c r="E5478" s="2721">
        <v>1</v>
      </c>
      <c r="F5478" s="294"/>
      <c r="G5478" s="1474" t="s">
        <v>4548</v>
      </c>
      <c r="H5478" s="1476">
        <f>SUM(H5479:H5480)</f>
        <v>0</v>
      </c>
      <c r="I5478" s="1476">
        <f t="shared" ref="I5478:J5478" si="584">SUM(I5479:I5480)</f>
        <v>0</v>
      </c>
      <c r="J5478" s="1476">
        <f t="shared" si="584"/>
        <v>0</v>
      </c>
      <c r="K5478" s="1477">
        <f t="shared" si="579"/>
        <v>0</v>
      </c>
      <c r="M5478" s="291"/>
      <c r="N5478" s="291"/>
      <c r="O5478" s="291"/>
      <c r="P5478" s="291"/>
      <c r="S5478" s="364"/>
      <c r="Z5478" s="609" t="s">
        <v>2129</v>
      </c>
      <c r="AA5478" s="609"/>
    </row>
    <row r="5479" spans="1:27" ht="17">
      <c r="A5479" s="2714"/>
      <c r="B5479" s="371">
        <v>121</v>
      </c>
      <c r="C5479" s="371"/>
      <c r="D5479" s="2716">
        <f t="shared" si="578"/>
        <v>1</v>
      </c>
      <c r="E5479" s="2721">
        <v>1</v>
      </c>
      <c r="F5479" s="294"/>
      <c r="G5479" s="1474" t="s">
        <v>4549</v>
      </c>
      <c r="H5479" s="2275"/>
      <c r="I5479" s="2275"/>
      <c r="J5479" s="2275"/>
      <c r="K5479" s="1477">
        <f t="shared" si="579"/>
        <v>0</v>
      </c>
      <c r="M5479" s="291"/>
      <c r="N5479" s="291"/>
      <c r="O5479" s="291"/>
      <c r="P5479" s="291"/>
      <c r="S5479" s="364"/>
      <c r="Z5479" s="609" t="s">
        <v>2129</v>
      </c>
      <c r="AA5479" s="609"/>
    </row>
    <row r="5480" spans="1:27" ht="17">
      <c r="A5480" s="2714"/>
      <c r="B5480" s="371">
        <v>122</v>
      </c>
      <c r="C5480" s="371"/>
      <c r="D5480" s="2716">
        <f t="shared" si="578"/>
        <v>1</v>
      </c>
      <c r="E5480" s="2721">
        <v>1</v>
      </c>
      <c r="F5480" s="294"/>
      <c r="G5480" s="1474" t="s">
        <v>4550</v>
      </c>
      <c r="H5480" s="2275"/>
      <c r="I5480" s="2275"/>
      <c r="J5480" s="2275"/>
      <c r="K5480" s="1477">
        <f t="shared" si="579"/>
        <v>0</v>
      </c>
      <c r="M5480" s="291"/>
      <c r="N5480" s="291"/>
      <c r="O5480" s="291"/>
      <c r="P5480" s="291"/>
      <c r="S5480" s="364"/>
      <c r="Z5480" s="609" t="s">
        <v>2129</v>
      </c>
      <c r="AA5480" s="609"/>
    </row>
    <row r="5481" spans="1:27" ht="17">
      <c r="A5481" s="2714"/>
      <c r="B5481" s="371">
        <v>123</v>
      </c>
      <c r="C5481" s="371" t="s">
        <v>2791</v>
      </c>
      <c r="D5481" s="2716">
        <f t="shared" si="578"/>
        <v>0</v>
      </c>
      <c r="E5481" s="2721">
        <v>1</v>
      </c>
      <c r="F5481" s="294"/>
      <c r="G5481" s="2589" t="s">
        <v>2792</v>
      </c>
      <c r="H5481" s="2275"/>
      <c r="I5481" s="2275"/>
      <c r="J5481" s="2275"/>
      <c r="K5481" s="1477">
        <f t="shared" si="579"/>
        <v>0</v>
      </c>
      <c r="M5481" s="291"/>
      <c r="N5481" s="291"/>
      <c r="O5481" s="291"/>
      <c r="P5481" s="291"/>
      <c r="S5481" s="364"/>
      <c r="Z5481" s="609" t="s">
        <v>2129</v>
      </c>
      <c r="AA5481" s="609"/>
    </row>
    <row r="5482" spans="1:27" ht="26">
      <c r="A5482" s="2714"/>
      <c r="B5482" s="371">
        <v>124</v>
      </c>
      <c r="C5482" s="371"/>
      <c r="D5482" s="2716">
        <f t="shared" si="578"/>
        <v>1</v>
      </c>
      <c r="E5482" s="2721">
        <v>1</v>
      </c>
      <c r="F5482" s="294"/>
      <c r="G5482" s="1474" t="s">
        <v>4551</v>
      </c>
      <c r="H5482" s="1476">
        <f>SUM(H5478,H5473,H5460,H5470,H5471,H5472)</f>
        <v>0</v>
      </c>
      <c r="I5482" s="1476">
        <f t="shared" ref="I5482:J5482" si="585">SUM(I5478,I5473,I5460,I5470,I5471,I5472)</f>
        <v>0</v>
      </c>
      <c r="J5482" s="1476">
        <f t="shared" si="585"/>
        <v>0</v>
      </c>
      <c r="K5482" s="1477">
        <f t="shared" si="579"/>
        <v>0</v>
      </c>
      <c r="M5482" s="291"/>
      <c r="N5482" s="291"/>
      <c r="O5482" s="291"/>
      <c r="P5482" s="291"/>
      <c r="S5482" s="364"/>
      <c r="Z5482" s="609" t="s">
        <v>2129</v>
      </c>
      <c r="AA5482" s="609"/>
    </row>
    <row r="5483" spans="1:27" ht="17">
      <c r="A5483" s="2714"/>
      <c r="B5483" s="371">
        <v>125</v>
      </c>
      <c r="C5483" s="371"/>
      <c r="D5483" s="2716">
        <f t="shared" si="578"/>
        <v>1</v>
      </c>
      <c r="E5483" s="2721">
        <v>1</v>
      </c>
      <c r="F5483" s="294"/>
      <c r="G5483" s="1474" t="s">
        <v>4552</v>
      </c>
      <c r="H5483" s="1476">
        <f>SUM(H5484:H5487)</f>
        <v>0</v>
      </c>
      <c r="I5483" s="1476">
        <f t="shared" ref="I5483:J5483" si="586">SUM(I5484:I5487)</f>
        <v>0</v>
      </c>
      <c r="J5483" s="1476">
        <f t="shared" si="586"/>
        <v>0</v>
      </c>
      <c r="K5483" s="1477">
        <f t="shared" si="579"/>
        <v>0</v>
      </c>
      <c r="M5483" s="291"/>
      <c r="N5483" s="291"/>
      <c r="O5483" s="291"/>
      <c r="P5483" s="291"/>
      <c r="S5483" s="364"/>
      <c r="Z5483" s="609" t="s">
        <v>2129</v>
      </c>
      <c r="AA5483" s="609"/>
    </row>
    <row r="5484" spans="1:27" ht="17">
      <c r="A5484" s="2714"/>
      <c r="B5484" s="371">
        <v>126</v>
      </c>
      <c r="C5484" s="371"/>
      <c r="D5484" s="2716">
        <f t="shared" si="578"/>
        <v>1</v>
      </c>
      <c r="E5484" s="2721">
        <v>1</v>
      </c>
      <c r="F5484" s="294"/>
      <c r="G5484" s="1474" t="s">
        <v>4553</v>
      </c>
      <c r="H5484" s="2275"/>
      <c r="I5484" s="2275"/>
      <c r="J5484" s="2275"/>
      <c r="K5484" s="1477">
        <f t="shared" si="579"/>
        <v>0</v>
      </c>
      <c r="M5484" s="291"/>
      <c r="N5484" s="291"/>
      <c r="O5484" s="291"/>
      <c r="P5484" s="291"/>
      <c r="S5484" s="364"/>
      <c r="Z5484" s="609" t="s">
        <v>2129</v>
      </c>
      <c r="AA5484" s="609"/>
    </row>
    <row r="5485" spans="1:27" ht="17">
      <c r="A5485" s="2714"/>
      <c r="B5485" s="371">
        <v>127</v>
      </c>
      <c r="C5485" s="371"/>
      <c r="D5485" s="2716">
        <f t="shared" si="578"/>
        <v>1</v>
      </c>
      <c r="E5485" s="2721">
        <v>1</v>
      </c>
      <c r="F5485" s="294"/>
      <c r="G5485" s="1474" t="s">
        <v>4554</v>
      </c>
      <c r="H5485" s="2275"/>
      <c r="I5485" s="2275"/>
      <c r="J5485" s="2275"/>
      <c r="K5485" s="1477">
        <f t="shared" si="579"/>
        <v>0</v>
      </c>
      <c r="M5485" s="291"/>
      <c r="N5485" s="291"/>
      <c r="O5485" s="291"/>
      <c r="P5485" s="291"/>
      <c r="S5485" s="364"/>
      <c r="Z5485" s="609" t="s">
        <v>2129</v>
      </c>
      <c r="AA5485" s="609"/>
    </row>
    <row r="5486" spans="1:27" ht="17">
      <c r="A5486" s="2714"/>
      <c r="B5486" s="371">
        <v>128</v>
      </c>
      <c r="C5486" s="371"/>
      <c r="D5486" s="2716">
        <f t="shared" si="578"/>
        <v>1</v>
      </c>
      <c r="E5486" s="2721">
        <v>1</v>
      </c>
      <c r="F5486" s="294"/>
      <c r="G5486" s="1474" t="s">
        <v>4555</v>
      </c>
      <c r="H5486" s="2275"/>
      <c r="I5486" s="2275"/>
      <c r="J5486" s="2275"/>
      <c r="K5486" s="1477">
        <f t="shared" ref="K5486" si="587">SUM(H5486:J5486)</f>
        <v>0</v>
      </c>
      <c r="M5486" s="291"/>
      <c r="N5486" s="291"/>
      <c r="O5486" s="291"/>
      <c r="P5486" s="291"/>
      <c r="S5486" s="364"/>
      <c r="Z5486" s="609" t="s">
        <v>2129</v>
      </c>
      <c r="AA5486" s="609"/>
    </row>
    <row r="5487" spans="1:27" ht="17">
      <c r="A5487" s="2714"/>
      <c r="B5487" s="371">
        <v>129</v>
      </c>
      <c r="C5487" s="371" t="s">
        <v>2791</v>
      </c>
      <c r="D5487" s="2716">
        <f t="shared" si="578"/>
        <v>0</v>
      </c>
      <c r="E5487" s="2721">
        <v>1</v>
      </c>
      <c r="F5487" s="294"/>
      <c r="G5487" s="2589" t="s">
        <v>2792</v>
      </c>
      <c r="H5487" s="2275"/>
      <c r="I5487" s="2275"/>
      <c r="J5487" s="2275"/>
      <c r="K5487" s="1477">
        <f t="shared" si="579"/>
        <v>0</v>
      </c>
      <c r="M5487" s="291"/>
      <c r="N5487" s="291"/>
      <c r="O5487" s="291"/>
      <c r="P5487" s="291"/>
      <c r="S5487" s="364"/>
      <c r="Z5487" s="609" t="s">
        <v>2129</v>
      </c>
      <c r="AA5487" s="609"/>
    </row>
    <row r="5488" spans="1:27" ht="39">
      <c r="A5488" s="2714"/>
      <c r="B5488" s="371">
        <v>130</v>
      </c>
      <c r="C5488" s="371"/>
      <c r="D5488" s="2716">
        <f t="shared" si="578"/>
        <v>1</v>
      </c>
      <c r="E5488" s="2721">
        <v>1</v>
      </c>
      <c r="F5488" s="294"/>
      <c r="G5488" s="1474" t="s">
        <v>4556</v>
      </c>
      <c r="H5488" s="2275"/>
      <c r="I5488" s="2275"/>
      <c r="J5488" s="2275"/>
      <c r="K5488" s="1477">
        <f t="shared" si="579"/>
        <v>0</v>
      </c>
      <c r="M5488" s="291"/>
      <c r="N5488" s="291"/>
      <c r="O5488" s="291"/>
      <c r="P5488" s="291"/>
      <c r="S5488" s="364"/>
      <c r="Z5488" s="609" t="s">
        <v>2129</v>
      </c>
      <c r="AA5488" s="609"/>
    </row>
    <row r="5489" spans="1:31" ht="17">
      <c r="A5489" s="2714"/>
      <c r="B5489" s="371">
        <v>131</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26">
      <c r="A5490" s="2714"/>
      <c r="B5490" s="371">
        <v>132</v>
      </c>
      <c r="C5490" s="371"/>
      <c r="D5490" s="2716">
        <f t="shared" si="578"/>
        <v>1</v>
      </c>
      <c r="E5490" s="2721">
        <v>1</v>
      </c>
      <c r="F5490" s="294"/>
      <c r="G5490" s="1474" t="s">
        <v>4557</v>
      </c>
      <c r="H5490" s="1476">
        <f>SUM(H5483,H5488,H5489)</f>
        <v>0</v>
      </c>
      <c r="I5490" s="1476">
        <f t="shared" ref="I5490:J5490" si="588">SUM(I5483,I5488,I5489)</f>
        <v>0</v>
      </c>
      <c r="J5490" s="1476">
        <f t="shared" si="588"/>
        <v>0</v>
      </c>
      <c r="K5490" s="1477">
        <f t="shared" si="579"/>
        <v>0</v>
      </c>
      <c r="M5490" s="291"/>
      <c r="N5490" s="291"/>
      <c r="O5490" s="291"/>
      <c r="P5490" s="291"/>
      <c r="S5490" s="364"/>
      <c r="Z5490" s="609" t="s">
        <v>2129</v>
      </c>
      <c r="AA5490" s="609"/>
    </row>
    <row r="5491" spans="1:31" ht="17">
      <c r="A5491" s="2714"/>
      <c r="B5491" s="371">
        <v>133</v>
      </c>
      <c r="C5491" s="371"/>
      <c r="D5491" s="2716">
        <f t="shared" si="578"/>
        <v>1</v>
      </c>
      <c r="E5491" s="2721" t="s">
        <v>41</v>
      </c>
      <c r="F5491" s="294"/>
      <c r="G5491" s="632" t="s">
        <v>4558</v>
      </c>
      <c r="H5491" s="2275"/>
      <c r="I5491" s="2275"/>
      <c r="J5491" s="2275"/>
      <c r="K5491" s="2296"/>
      <c r="M5491" s="291"/>
      <c r="N5491" s="291"/>
      <c r="O5491" s="291"/>
      <c r="P5491" s="291"/>
      <c r="S5491" s="364"/>
      <c r="Z5491" s="609" t="s">
        <v>2129</v>
      </c>
      <c r="AA5491" s="609"/>
    </row>
    <row r="5492" spans="1:31" ht="17">
      <c r="A5492" s="2714"/>
      <c r="B5492" s="371">
        <v>134</v>
      </c>
      <c r="C5492" s="371"/>
      <c r="D5492" s="2716">
        <f t="shared" si="578"/>
        <v>1</v>
      </c>
      <c r="E5492" s="2721">
        <v>1</v>
      </c>
      <c r="F5492" s="294"/>
      <c r="G5492" s="1474" t="s">
        <v>4559</v>
      </c>
      <c r="H5492" s="2275"/>
      <c r="I5492" s="2275"/>
      <c r="J5492" s="2275"/>
      <c r="K5492" s="1477">
        <f t="shared" si="579"/>
        <v>0</v>
      </c>
      <c r="M5492" s="291"/>
      <c r="N5492" s="291"/>
      <c r="O5492" s="291"/>
      <c r="P5492" s="291"/>
      <c r="S5492" s="364"/>
      <c r="Z5492" s="609" t="s">
        <v>2129</v>
      </c>
      <c r="AA5492" s="609"/>
    </row>
    <row r="5493" spans="1:31" ht="17">
      <c r="A5493" s="2714"/>
      <c r="B5493" s="371">
        <v>135</v>
      </c>
      <c r="C5493" s="371" t="s">
        <v>2791</v>
      </c>
      <c r="D5493" s="2716">
        <f t="shared" si="578"/>
        <v>0</v>
      </c>
      <c r="E5493" s="2721">
        <v>1</v>
      </c>
      <c r="F5493" s="294"/>
      <c r="G5493" s="2589" t="s">
        <v>2792</v>
      </c>
      <c r="H5493" s="2275"/>
      <c r="I5493" s="2275"/>
      <c r="J5493" s="2275"/>
      <c r="K5493" s="1477">
        <f t="shared" si="579"/>
        <v>0</v>
      </c>
      <c r="M5493" s="291"/>
      <c r="N5493" s="291"/>
      <c r="O5493" s="291"/>
      <c r="P5493" s="291"/>
      <c r="S5493" s="364"/>
      <c r="Z5493" s="609" t="s">
        <v>2129</v>
      </c>
      <c r="AA5493" s="609"/>
    </row>
    <row r="5494" spans="1:31" ht="26">
      <c r="A5494" s="2714"/>
      <c r="B5494" s="371">
        <v>136</v>
      </c>
      <c r="C5494" s="371"/>
      <c r="D5494" s="2716">
        <f t="shared" si="578"/>
        <v>1</v>
      </c>
      <c r="E5494" s="2721">
        <v>1</v>
      </c>
      <c r="F5494" s="294"/>
      <c r="G5494" s="1474" t="s">
        <v>4560</v>
      </c>
      <c r="H5494" s="1476">
        <f>SUM(H5492:H5493)</f>
        <v>0</v>
      </c>
      <c r="I5494" s="1476">
        <f>SUM(I5492:I5493)</f>
        <v>0</v>
      </c>
      <c r="J5494" s="1476">
        <f>SUM(J5492:J5493)</f>
        <v>0</v>
      </c>
      <c r="K5494" s="1477">
        <f t="shared" si="579"/>
        <v>0</v>
      </c>
      <c r="M5494" s="291"/>
      <c r="N5494" s="291"/>
      <c r="O5494" s="291"/>
      <c r="P5494" s="291"/>
      <c r="S5494" s="364"/>
      <c r="Z5494" s="609" t="s">
        <v>2129</v>
      </c>
      <c r="AA5494" s="609"/>
    </row>
    <row r="5495" spans="1:31" ht="17">
      <c r="A5495" s="2714"/>
      <c r="B5495" s="371">
        <v>137</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17">
      <c r="A5496" s="2714"/>
      <c r="B5496" s="371">
        <v>138</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6">
      <c r="A5497" s="2714"/>
      <c r="B5497" s="371">
        <v>139</v>
      </c>
      <c r="C5497" s="371"/>
      <c r="D5497" s="2716">
        <f t="shared" si="578"/>
        <v>1</v>
      </c>
      <c r="E5497" s="2721">
        <v>1</v>
      </c>
      <c r="F5497" s="294"/>
      <c r="G5497" s="1474" t="s">
        <v>4561</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7.5" thickBot="1">
      <c r="A5498" s="2714"/>
      <c r="B5498" s="371"/>
      <c r="C5498" s="371"/>
      <c r="D5498" s="2716">
        <f t="shared" si="578"/>
        <v>0</v>
      </c>
      <c r="E5498" s="2721" t="s">
        <v>3595</v>
      </c>
      <c r="F5498" s="294"/>
      <c r="G5498" s="2429"/>
      <c r="H5498" s="2308"/>
      <c r="I5498" s="2308"/>
      <c r="J5498" s="2308"/>
      <c r="K5498" s="2309"/>
      <c r="M5498" s="291"/>
      <c r="N5498" s="291"/>
      <c r="O5498" s="291"/>
      <c r="P5498" s="291"/>
      <c r="S5498" s="364"/>
      <c r="Z5498" s="609" t="s">
        <v>2129</v>
      </c>
      <c r="AA5498" s="609"/>
    </row>
    <row r="5499" spans="1:31" ht="17">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6" hidden="1">
      <c r="A5500" s="2714" t="s">
        <v>6150</v>
      </c>
      <c r="B5500" s="371">
        <v>1</v>
      </c>
      <c r="C5500" s="371"/>
      <c r="D5500" s="2716" t="str">
        <f>VLOOKUP($A5500,Sheet_NoteList,2,0)</f>
        <v>以公允价值计量的资产和负债的期末公允价值</v>
      </c>
      <c r="E5500" s="2716" t="s">
        <v>6615</v>
      </c>
      <c r="F5500" s="293"/>
      <c r="G5500" s="372" t="str">
        <f>"("&amp;B5500&amp;")"&amp;D5500</f>
        <v>(1)以公允价值计量的资产和负债的期末公允价值</v>
      </c>
      <c r="H5500" s="1517" t="str">
        <f>$A5500</f>
        <v>9331k</v>
      </c>
      <c r="I5500" s="343" t="s">
        <v>6618</v>
      </c>
      <c r="J5500" s="301" t="s">
        <v>6616</v>
      </c>
      <c r="K5500" s="391">
        <f>H5546</f>
        <v>0</v>
      </c>
      <c r="L5500" s="349"/>
      <c r="M5500" s="301" t="s">
        <v>6620</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6152</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159" t="s">
        <v>47</v>
      </c>
      <c r="H5503" s="3168" t="s">
        <v>6153</v>
      </c>
      <c r="I5503" s="3168"/>
      <c r="J5503" s="3168"/>
      <c r="K5503" s="3169"/>
      <c r="L5503" s="2621" t="s">
        <v>5991</v>
      </c>
      <c r="M5503" s="2212"/>
      <c r="N5503" s="2210"/>
      <c r="O5503" s="2211"/>
      <c r="P5503" s="2212"/>
      <c r="Q5503" s="442"/>
      <c r="R5503" s="442"/>
      <c r="S5503" s="364"/>
      <c r="Z5503" s="609" t="s">
        <v>2129</v>
      </c>
      <c r="AA5503" s="609" t="s">
        <v>19</v>
      </c>
      <c r="AE5503" s="369" t="s">
        <v>2761</v>
      </c>
    </row>
    <row r="5504" spans="1:31" ht="26" hidden="1">
      <c r="A5504" s="2714"/>
      <c r="B5504" s="371"/>
      <c r="C5504" s="371"/>
      <c r="D5504" s="2716"/>
      <c r="E5504" s="586" t="s">
        <v>2749</v>
      </c>
      <c r="F5504" s="414"/>
      <c r="G5504" s="3160"/>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7" hidden="1">
      <c r="A5505" s="2714"/>
      <c r="B5505" s="371">
        <v>101</v>
      </c>
      <c r="C5505" s="371"/>
      <c r="D5505" s="2716">
        <f t="shared" ref="D5505:D5546" si="589">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6" hidden="1">
      <c r="A5506" s="2714"/>
      <c r="B5506" s="371">
        <v>102</v>
      </c>
      <c r="C5506" s="371"/>
      <c r="D5506" s="2716">
        <f t="shared" si="589"/>
        <v>1</v>
      </c>
      <c r="E5506" s="2721">
        <v>1</v>
      </c>
      <c r="F5506" s="293"/>
      <c r="G5506" s="1474" t="s">
        <v>6154</v>
      </c>
      <c r="H5506" s="1476">
        <f>SUM(H5507,H5512)</f>
        <v>0</v>
      </c>
      <c r="I5506" s="1476">
        <f t="shared" ref="I5506:J5506" si="590">SUM(I5507,I5512)</f>
        <v>0</v>
      </c>
      <c r="J5506" s="1476">
        <f t="shared" si="590"/>
        <v>0</v>
      </c>
      <c r="K5506" s="1477">
        <f>SUM(H5506:J5506)</f>
        <v>0</v>
      </c>
      <c r="L5506" s="2211"/>
      <c r="M5506" s="2212"/>
      <c r="N5506" s="2210"/>
      <c r="O5506" s="2211"/>
      <c r="P5506" s="2212"/>
      <c r="Q5506" s="442"/>
      <c r="R5506" s="442"/>
      <c r="S5506" s="364"/>
      <c r="Z5506" s="609" t="s">
        <v>2129</v>
      </c>
      <c r="AA5506" s="609" t="s">
        <v>19</v>
      </c>
      <c r="AE5506" s="369" t="s">
        <v>2761</v>
      </c>
    </row>
    <row r="5507" spans="1:31" ht="17" hidden="1">
      <c r="A5507" s="2714"/>
      <c r="B5507" s="371">
        <v>103</v>
      </c>
      <c r="C5507" s="371"/>
      <c r="D5507" s="2716">
        <f t="shared" si="589"/>
        <v>1</v>
      </c>
      <c r="E5507" s="2721">
        <v>1</v>
      </c>
      <c r="F5507" s="293"/>
      <c r="G5507" s="1474" t="s">
        <v>6160</v>
      </c>
      <c r="H5507" s="1476">
        <f>SUM(H5508:H5511)</f>
        <v>0</v>
      </c>
      <c r="I5507" s="1476">
        <f t="shared" ref="I5507:J5507" si="591">SUM(I5508:I5511)</f>
        <v>0</v>
      </c>
      <c r="J5507" s="1476">
        <f t="shared" si="591"/>
        <v>0</v>
      </c>
      <c r="K5507" s="1477">
        <f t="shared" ref="K5507:K5545" si="592">SUM(H5507:J5507)</f>
        <v>0</v>
      </c>
      <c r="L5507" s="2211"/>
      <c r="M5507" s="2212"/>
      <c r="N5507" s="2210"/>
      <c r="O5507" s="2211"/>
      <c r="P5507" s="2212"/>
      <c r="Q5507" s="442"/>
      <c r="R5507" s="442"/>
      <c r="S5507" s="364"/>
      <c r="Z5507" s="609" t="s">
        <v>2129</v>
      </c>
      <c r="AA5507" s="609" t="s">
        <v>19</v>
      </c>
      <c r="AE5507" s="369" t="s">
        <v>2761</v>
      </c>
    </row>
    <row r="5508" spans="1:31" ht="17" hidden="1">
      <c r="A5508" s="2714"/>
      <c r="B5508" s="371">
        <v>104</v>
      </c>
      <c r="C5508" s="371"/>
      <c r="D5508" s="2716">
        <f t="shared" si="589"/>
        <v>1</v>
      </c>
      <c r="E5508" s="2721">
        <v>1</v>
      </c>
      <c r="F5508" s="293"/>
      <c r="G5508" s="1474" t="s">
        <v>6162</v>
      </c>
      <c r="H5508" s="2275"/>
      <c r="I5508" s="2275"/>
      <c r="J5508" s="2275"/>
      <c r="K5508" s="1477">
        <f t="shared" si="592"/>
        <v>0</v>
      </c>
      <c r="L5508" s="2211"/>
      <c r="M5508" s="2212"/>
      <c r="N5508" s="2210"/>
      <c r="O5508" s="2211"/>
      <c r="P5508" s="2212"/>
      <c r="Q5508" s="442"/>
      <c r="R5508" s="442"/>
      <c r="S5508" s="364"/>
      <c r="Z5508" s="609" t="s">
        <v>2129</v>
      </c>
      <c r="AA5508" s="609" t="s">
        <v>19</v>
      </c>
      <c r="AE5508" s="369" t="s">
        <v>2761</v>
      </c>
    </row>
    <row r="5509" spans="1:31" ht="17" hidden="1">
      <c r="A5509" s="2714"/>
      <c r="B5509" s="371">
        <v>105</v>
      </c>
      <c r="C5509" s="371"/>
      <c r="D5509" s="2716">
        <f t="shared" si="589"/>
        <v>1</v>
      </c>
      <c r="E5509" s="2721">
        <v>1</v>
      </c>
      <c r="F5509" s="293"/>
      <c r="G5509" s="1474" t="s">
        <v>6164</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7" hidden="1">
      <c r="A5510" s="2714"/>
      <c r="B5510" s="371">
        <v>106</v>
      </c>
      <c r="C5510" s="371"/>
      <c r="D5510" s="2716">
        <f t="shared" si="589"/>
        <v>1</v>
      </c>
      <c r="E5510" s="2721">
        <v>1</v>
      </c>
      <c r="F5510" s="293"/>
      <c r="G5510" s="1474" t="s">
        <v>4538</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7" hidden="1">
      <c r="A5511" s="2714"/>
      <c r="B5511" s="371">
        <v>107</v>
      </c>
      <c r="C5511" s="371" t="s">
        <v>6537</v>
      </c>
      <c r="D5511" s="2716">
        <f t="shared" si="589"/>
        <v>0</v>
      </c>
      <c r="E5511" s="2721">
        <v>1</v>
      </c>
      <c r="F5511" s="293"/>
      <c r="G5511" s="2589" t="s">
        <v>2792</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39" hidden="1">
      <c r="A5512" s="2714"/>
      <c r="B5512" s="371">
        <v>108</v>
      </c>
      <c r="C5512" s="371"/>
      <c r="D5512" s="2716">
        <f t="shared" si="589"/>
        <v>1</v>
      </c>
      <c r="E5512" s="2721">
        <v>1</v>
      </c>
      <c r="F5512" s="293"/>
      <c r="G5512" s="1474" t="s">
        <v>4539</v>
      </c>
      <c r="H5512" s="1476">
        <f>SUM(H5513:H5515)</f>
        <v>0</v>
      </c>
      <c r="I5512" s="1476">
        <f t="shared" ref="I5512:J5512" si="593">SUM(I5513:I5515)</f>
        <v>0</v>
      </c>
      <c r="J5512" s="1476">
        <f t="shared" si="593"/>
        <v>0</v>
      </c>
      <c r="K5512" s="1477">
        <f t="shared" si="592"/>
        <v>0</v>
      </c>
      <c r="L5512" s="2211"/>
      <c r="M5512" s="2212"/>
      <c r="N5512" s="2210"/>
      <c r="O5512" s="2211"/>
      <c r="P5512" s="2212"/>
      <c r="Q5512" s="442"/>
      <c r="R5512" s="442"/>
      <c r="S5512" s="364"/>
      <c r="Z5512" s="609" t="s">
        <v>2129</v>
      </c>
      <c r="AA5512" s="609" t="s">
        <v>19</v>
      </c>
      <c r="AE5512" s="369" t="s">
        <v>2761</v>
      </c>
    </row>
    <row r="5513" spans="1:31" ht="17" hidden="1">
      <c r="A5513" s="2714"/>
      <c r="B5513" s="371">
        <v>109</v>
      </c>
      <c r="C5513" s="371"/>
      <c r="D5513" s="2716">
        <f t="shared" si="589"/>
        <v>1</v>
      </c>
      <c r="E5513" s="2721">
        <v>1</v>
      </c>
      <c r="F5513" s="293"/>
      <c r="G5513" s="1474" t="s">
        <v>6163</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7" hidden="1">
      <c r="A5514" s="2714"/>
      <c r="B5514" s="371">
        <v>110</v>
      </c>
      <c r="C5514" s="371"/>
      <c r="D5514" s="2716">
        <f t="shared" si="589"/>
        <v>1</v>
      </c>
      <c r="E5514" s="2721">
        <v>1</v>
      </c>
      <c r="F5514" s="293"/>
      <c r="G5514" s="1474" t="s">
        <v>6165</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7" hidden="1">
      <c r="A5515" s="2714"/>
      <c r="B5515" s="371">
        <v>111</v>
      </c>
      <c r="C5515" s="371" t="s">
        <v>6537</v>
      </c>
      <c r="D5515" s="2716">
        <f t="shared" si="589"/>
        <v>0</v>
      </c>
      <c r="E5515" s="2721">
        <v>1</v>
      </c>
      <c r="F5515" s="293"/>
      <c r="G5515" s="2589" t="s">
        <v>2792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7" hidden="1">
      <c r="A5516" s="2714"/>
      <c r="B5516" s="371">
        <v>112</v>
      </c>
      <c r="C5516" s="371"/>
      <c r="D5516" s="2716">
        <f t="shared" si="589"/>
        <v>1</v>
      </c>
      <c r="E5516" s="2721">
        <v>1</v>
      </c>
      <c r="F5516" s="293"/>
      <c r="G5516" s="1474" t="s">
        <v>6155</v>
      </c>
      <c r="H5516" s="1476">
        <f>SUM(H5517:H5520)</f>
        <v>0</v>
      </c>
      <c r="I5516" s="1476">
        <f t="shared" ref="I5516:J5516" si="594">SUM(I5517:I5520)</f>
        <v>0</v>
      </c>
      <c r="J5516" s="1476">
        <f t="shared" si="594"/>
        <v>0</v>
      </c>
      <c r="K5516" s="1477">
        <f t="shared" si="592"/>
        <v>0</v>
      </c>
      <c r="L5516" s="2211"/>
      <c r="M5516" s="2212"/>
      <c r="N5516" s="2210"/>
      <c r="O5516" s="2211"/>
      <c r="P5516" s="2212"/>
      <c r="Q5516" s="442"/>
      <c r="R5516" s="442"/>
      <c r="S5516" s="364"/>
      <c r="Z5516" s="609" t="s">
        <v>2129</v>
      </c>
      <c r="AA5516" s="609" t="s">
        <v>19</v>
      </c>
      <c r="AE5516" s="369" t="s">
        <v>2761</v>
      </c>
    </row>
    <row r="5517" spans="1:31" ht="17" hidden="1">
      <c r="A5517" s="2714"/>
      <c r="B5517" s="371">
        <v>113</v>
      </c>
      <c r="C5517" s="371"/>
      <c r="D5517" s="2716">
        <f t="shared" si="589"/>
        <v>1</v>
      </c>
      <c r="E5517" s="2721">
        <v>1</v>
      </c>
      <c r="F5517" s="293"/>
      <c r="G5517" s="1474" t="s">
        <v>6166</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7" hidden="1">
      <c r="A5518" s="2714"/>
      <c r="B5518" s="371">
        <v>114</v>
      </c>
      <c r="C5518" s="371"/>
      <c r="D5518" s="2716">
        <f t="shared" si="589"/>
        <v>1</v>
      </c>
      <c r="E5518" s="2721">
        <v>1</v>
      </c>
      <c r="F5518" s="293"/>
      <c r="G5518" s="1474" t="s">
        <v>6167</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7" hidden="1">
      <c r="A5519" s="2714"/>
      <c r="B5519" s="371">
        <v>115</v>
      </c>
      <c r="C5519" s="371"/>
      <c r="D5519" s="2716">
        <f t="shared" si="589"/>
        <v>1</v>
      </c>
      <c r="E5519" s="2721">
        <v>1</v>
      </c>
      <c r="F5519" s="293"/>
      <c r="G5519" s="1474" t="s">
        <v>6161</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7" hidden="1">
      <c r="A5520" s="2714"/>
      <c r="B5520" s="371">
        <v>116</v>
      </c>
      <c r="C5520" s="371" t="s">
        <v>6537</v>
      </c>
      <c r="D5520" s="2716">
        <f t="shared" si="589"/>
        <v>0</v>
      </c>
      <c r="E5520" s="2721">
        <v>1</v>
      </c>
      <c r="F5520" s="293"/>
      <c r="G5520" s="2589" t="s">
        <v>2792</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7" hidden="1">
      <c r="A5521" s="2714"/>
      <c r="B5521" s="371">
        <v>117</v>
      </c>
      <c r="C5521" s="371"/>
      <c r="D5521" s="2716">
        <f t="shared" si="589"/>
        <v>1</v>
      </c>
      <c r="E5521" s="2721">
        <v>1</v>
      </c>
      <c r="F5521" s="293"/>
      <c r="G5521" s="1474" t="s">
        <v>6156</v>
      </c>
      <c r="H5521" s="1476">
        <f>SUM(H5522:H5525)</f>
        <v>0</v>
      </c>
      <c r="I5521" s="1476">
        <f t="shared" ref="I5521:J5521" si="595">SUM(I5522:I5525)</f>
        <v>0</v>
      </c>
      <c r="J5521" s="1476">
        <f t="shared" si="595"/>
        <v>0</v>
      </c>
      <c r="K5521" s="1477">
        <f t="shared" si="592"/>
        <v>0</v>
      </c>
      <c r="L5521" s="2211"/>
      <c r="M5521" s="2212"/>
      <c r="N5521" s="2210"/>
      <c r="O5521" s="2211"/>
      <c r="P5521" s="2212"/>
      <c r="Q5521" s="442"/>
      <c r="R5521" s="442"/>
      <c r="S5521" s="364"/>
      <c r="Z5521" s="609" t="s">
        <v>2129</v>
      </c>
      <c r="AA5521" s="609" t="s">
        <v>19</v>
      </c>
      <c r="AE5521" s="369" t="s">
        <v>2761</v>
      </c>
    </row>
    <row r="5522" spans="1:31" ht="17" hidden="1">
      <c r="A5522" s="2714"/>
      <c r="B5522" s="371">
        <v>118</v>
      </c>
      <c r="C5522" s="371"/>
      <c r="D5522" s="2716">
        <f t="shared" si="589"/>
        <v>1</v>
      </c>
      <c r="E5522" s="2721">
        <v>1</v>
      </c>
      <c r="F5522" s="293"/>
      <c r="G5522" s="1474" t="s">
        <v>4545</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7" hidden="1">
      <c r="A5523" s="2714"/>
      <c r="B5523" s="371">
        <v>119</v>
      </c>
      <c r="C5523" s="371"/>
      <c r="D5523" s="2716">
        <f t="shared" si="589"/>
        <v>1</v>
      </c>
      <c r="E5523" s="2721">
        <v>1</v>
      </c>
      <c r="F5523" s="293"/>
      <c r="G5523" s="1474" t="s">
        <v>4546</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26" hidden="1">
      <c r="A5524" s="2714"/>
      <c r="B5524" s="371">
        <v>120</v>
      </c>
      <c r="C5524" s="371"/>
      <c r="D5524" s="2716">
        <f t="shared" si="589"/>
        <v>1</v>
      </c>
      <c r="E5524" s="2721">
        <v>1</v>
      </c>
      <c r="F5524" s="293"/>
      <c r="G5524" s="1474" t="s">
        <v>4547</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7" hidden="1">
      <c r="A5525" s="2714"/>
      <c r="B5525" s="371">
        <v>121</v>
      </c>
      <c r="C5525" s="371" t="s">
        <v>6537</v>
      </c>
      <c r="D5525" s="2716">
        <f t="shared" si="589"/>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7" hidden="1">
      <c r="A5526" s="2714"/>
      <c r="B5526" s="371">
        <v>122</v>
      </c>
      <c r="C5526" s="371"/>
      <c r="D5526" s="2716">
        <f t="shared" si="589"/>
        <v>1</v>
      </c>
      <c r="E5526" s="2721">
        <v>1</v>
      </c>
      <c r="F5526" s="293"/>
      <c r="G5526" s="1474" t="s">
        <v>6157</v>
      </c>
      <c r="H5526" s="1476">
        <f>SUM(H5527:H5528)</f>
        <v>0</v>
      </c>
      <c r="I5526" s="1476">
        <f t="shared" ref="I5526:J5526" si="596">SUM(I5527:I5528)</f>
        <v>0</v>
      </c>
      <c r="J5526" s="1476">
        <f t="shared" si="596"/>
        <v>0</v>
      </c>
      <c r="K5526" s="1477">
        <f t="shared" si="592"/>
        <v>0</v>
      </c>
      <c r="L5526" s="2211"/>
      <c r="M5526" s="2212"/>
      <c r="N5526" s="2210"/>
      <c r="O5526" s="2211"/>
      <c r="P5526" s="2212"/>
      <c r="Q5526" s="442"/>
      <c r="R5526" s="442"/>
      <c r="S5526" s="364"/>
      <c r="Z5526" s="609" t="s">
        <v>2129</v>
      </c>
      <c r="AA5526" s="609" t="s">
        <v>19</v>
      </c>
      <c r="AE5526" s="369" t="s">
        <v>2761</v>
      </c>
    </row>
    <row r="5527" spans="1:31" ht="17" hidden="1">
      <c r="A5527" s="2714"/>
      <c r="B5527" s="371">
        <v>123</v>
      </c>
      <c r="C5527" s="371"/>
      <c r="D5527" s="2716">
        <f t="shared" si="589"/>
        <v>1</v>
      </c>
      <c r="E5527" s="2721">
        <v>1</v>
      </c>
      <c r="F5527" s="293"/>
      <c r="G5527" s="1474" t="s">
        <v>4549</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7" hidden="1">
      <c r="A5528" s="2714"/>
      <c r="B5528" s="371">
        <v>124</v>
      </c>
      <c r="C5528" s="371"/>
      <c r="D5528" s="2716">
        <f t="shared" si="589"/>
        <v>1</v>
      </c>
      <c r="E5528" s="2721">
        <v>1</v>
      </c>
      <c r="F5528" s="293"/>
      <c r="G5528" s="1474" t="s">
        <v>4550</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7" hidden="1">
      <c r="A5529" s="2714"/>
      <c r="B5529" s="371">
        <v>125</v>
      </c>
      <c r="C5529" s="371" t="s">
        <v>2791</v>
      </c>
      <c r="D5529" s="2716">
        <f t="shared" si="589"/>
        <v>0</v>
      </c>
      <c r="E5529" s="2721">
        <v>1</v>
      </c>
      <c r="F5529" s="293"/>
      <c r="G5529" s="2589" t="s">
        <v>2792</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26" hidden="1">
      <c r="A5530" s="2714"/>
      <c r="B5530" s="371">
        <v>126</v>
      </c>
      <c r="C5530" s="371"/>
      <c r="D5530" s="2716">
        <f t="shared" si="589"/>
        <v>1</v>
      </c>
      <c r="E5530" s="2721">
        <v>1</v>
      </c>
      <c r="F5530" s="293"/>
      <c r="G5530" s="1474" t="s">
        <v>4551</v>
      </c>
      <c r="H5530" s="1476">
        <f>SUM(H5506,H5516,H5521,H5526,H5529)</f>
        <v>0</v>
      </c>
      <c r="I5530" s="1476">
        <f t="shared" ref="I5530:J5530" si="597">SUM(I5506,I5516,I5521,I5526,I5529)</f>
        <v>0</v>
      </c>
      <c r="J5530" s="1476">
        <f t="shared" si="597"/>
        <v>0</v>
      </c>
      <c r="K5530" s="1477">
        <f t="shared" si="592"/>
        <v>0</v>
      </c>
      <c r="L5530" s="2211"/>
      <c r="M5530" s="2212"/>
      <c r="N5530" s="2210"/>
      <c r="O5530" s="2211"/>
      <c r="P5530" s="2212"/>
      <c r="Q5530" s="442"/>
      <c r="R5530" s="442"/>
      <c r="S5530" s="364"/>
      <c r="Z5530" s="609" t="s">
        <v>2129</v>
      </c>
      <c r="AA5530" s="609" t="s">
        <v>19</v>
      </c>
      <c r="AE5530" s="369" t="s">
        <v>2761</v>
      </c>
    </row>
    <row r="5531" spans="1:31" ht="17" hidden="1">
      <c r="A5531" s="2714"/>
      <c r="B5531" s="371">
        <v>127</v>
      </c>
      <c r="C5531" s="371"/>
      <c r="D5531" s="2716">
        <f t="shared" si="589"/>
        <v>1</v>
      </c>
      <c r="E5531" s="2721">
        <v>1</v>
      </c>
      <c r="F5531" s="293"/>
      <c r="G5531" s="1474" t="s">
        <v>6158</v>
      </c>
      <c r="H5531" s="1476">
        <f>SUM(H5532:H5535)</f>
        <v>0</v>
      </c>
      <c r="I5531" s="1476">
        <f t="shared" ref="I5531:J5531" si="598">SUM(I5532:I5535)</f>
        <v>0</v>
      </c>
      <c r="J5531" s="1476">
        <f t="shared" si="598"/>
        <v>0</v>
      </c>
      <c r="K5531" s="1477">
        <f>SUM(H5531:J5531)</f>
        <v>0</v>
      </c>
      <c r="L5531" s="2211"/>
      <c r="M5531" s="2212"/>
      <c r="N5531" s="2210"/>
      <c r="O5531" s="2211"/>
      <c r="P5531" s="2212"/>
      <c r="Q5531" s="442"/>
      <c r="R5531" s="442"/>
      <c r="S5531" s="364"/>
      <c r="Z5531" s="609" t="s">
        <v>2129</v>
      </c>
      <c r="AA5531" s="609" t="s">
        <v>19</v>
      </c>
      <c r="AE5531" s="369" t="s">
        <v>2761</v>
      </c>
    </row>
    <row r="5532" spans="1:31" ht="17" hidden="1">
      <c r="A5532" s="2714"/>
      <c r="B5532" s="371">
        <v>128</v>
      </c>
      <c r="C5532" s="371"/>
      <c r="D5532" s="2716">
        <f t="shared" si="589"/>
        <v>1</v>
      </c>
      <c r="E5532" s="2721">
        <v>1</v>
      </c>
      <c r="F5532" s="293"/>
      <c r="G5532" s="1474" t="s">
        <v>6168</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17" hidden="1">
      <c r="A5533" s="2714"/>
      <c r="B5533" s="371">
        <v>129</v>
      </c>
      <c r="C5533" s="371"/>
      <c r="D5533" s="2716">
        <f t="shared" si="589"/>
        <v>1</v>
      </c>
      <c r="E5533" s="2721">
        <v>1</v>
      </c>
      <c r="F5533" s="293"/>
      <c r="G5533" s="1474" t="s">
        <v>467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7" hidden="1">
      <c r="A5534" s="2714"/>
      <c r="B5534" s="371">
        <v>130</v>
      </c>
      <c r="C5534" s="371"/>
      <c r="D5534" s="2716">
        <f t="shared" si="589"/>
        <v>1</v>
      </c>
      <c r="E5534" s="2721">
        <v>1</v>
      </c>
      <c r="F5534" s="293"/>
      <c r="G5534" s="1474" t="s">
        <v>932</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7" hidden="1">
      <c r="A5535" s="2714"/>
      <c r="B5535" s="371">
        <v>131</v>
      </c>
      <c r="C5535" s="371" t="s">
        <v>6534</v>
      </c>
      <c r="D5535" s="2716">
        <f t="shared" si="589"/>
        <v>0</v>
      </c>
      <c r="E5535" s="2721">
        <v>1</v>
      </c>
      <c r="F5535" s="293"/>
      <c r="G5535" s="2589" t="s">
        <v>2792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39" hidden="1">
      <c r="A5536" s="2714"/>
      <c r="B5536" s="371">
        <v>132</v>
      </c>
      <c r="C5536" s="371"/>
      <c r="D5536" s="2716">
        <f t="shared" si="589"/>
        <v>1</v>
      </c>
      <c r="E5536" s="2721">
        <v>1</v>
      </c>
      <c r="F5536" s="293"/>
      <c r="G5536" s="1474" t="s">
        <v>6159</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7" hidden="1">
      <c r="A5537" s="2714"/>
      <c r="B5537" s="371">
        <v>133</v>
      </c>
      <c r="C5537" s="371" t="s">
        <v>2791</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26" hidden="1">
      <c r="A5538" s="2714"/>
      <c r="B5538" s="371">
        <v>134</v>
      </c>
      <c r="C5538" s="371"/>
      <c r="D5538" s="2716">
        <f t="shared" si="589"/>
        <v>1</v>
      </c>
      <c r="E5538" s="2721">
        <v>1</v>
      </c>
      <c r="F5538" s="293"/>
      <c r="G5538" s="1474" t="s">
        <v>4557</v>
      </c>
      <c r="H5538" s="1476">
        <f>SUM(H5531,H5536,H5537)</f>
        <v>0</v>
      </c>
      <c r="I5538" s="1476">
        <f t="shared" ref="I5538:J5538" si="599">SUM(I5531,I5536,I5537)</f>
        <v>0</v>
      </c>
      <c r="J5538" s="1476">
        <f t="shared" si="599"/>
        <v>0</v>
      </c>
      <c r="K5538" s="1477">
        <f t="shared" si="592"/>
        <v>0</v>
      </c>
      <c r="L5538" s="2211"/>
      <c r="M5538" s="2212"/>
      <c r="N5538" s="2210"/>
      <c r="O5538" s="2211"/>
      <c r="P5538" s="2212"/>
      <c r="Q5538" s="442"/>
      <c r="R5538" s="442"/>
      <c r="S5538" s="364"/>
      <c r="Z5538" s="609" t="s">
        <v>2129</v>
      </c>
      <c r="AA5538" s="609" t="s">
        <v>19</v>
      </c>
      <c r="AE5538" s="369" t="s">
        <v>2761</v>
      </c>
    </row>
    <row r="5539" spans="1:31" ht="17" hidden="1">
      <c r="A5539" s="2714"/>
      <c r="B5539" s="371">
        <v>135</v>
      </c>
      <c r="C5539" s="371"/>
      <c r="D5539" s="2716">
        <f t="shared" si="589"/>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7" hidden="1">
      <c r="A5540" s="2714"/>
      <c r="B5540" s="371">
        <v>136</v>
      </c>
      <c r="C5540" s="371"/>
      <c r="D5540" s="2716">
        <f t="shared" si="589"/>
        <v>1</v>
      </c>
      <c r="E5540" s="2721">
        <v>1</v>
      </c>
      <c r="F5540" s="293"/>
      <c r="G5540" s="1474" t="s">
        <v>4559</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17" hidden="1">
      <c r="A5541" s="2714"/>
      <c r="B5541" s="371">
        <v>137</v>
      </c>
      <c r="C5541" s="371" t="s">
        <v>2791</v>
      </c>
      <c r="D5541" s="2716">
        <f t="shared" si="589"/>
        <v>0</v>
      </c>
      <c r="E5541" s="2721">
        <v>1</v>
      </c>
      <c r="F5541" s="293"/>
      <c r="G5541" s="2589" t="s">
        <v>2792</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26" hidden="1">
      <c r="A5542" s="2714"/>
      <c r="B5542" s="371">
        <v>138</v>
      </c>
      <c r="C5542" s="371"/>
      <c r="D5542" s="2716">
        <f t="shared" si="589"/>
        <v>1</v>
      </c>
      <c r="E5542" s="2721">
        <v>1</v>
      </c>
      <c r="F5542" s="293"/>
      <c r="G5542" s="1474" t="s">
        <v>4560</v>
      </c>
      <c r="H5542" s="1476">
        <f>SUM(H5540:H5541)</f>
        <v>0</v>
      </c>
      <c r="I5542" s="1476">
        <f t="shared" ref="I5542:J5542" si="600">SUM(I5540:I5541)</f>
        <v>0</v>
      </c>
      <c r="J5542" s="1476">
        <f t="shared" si="600"/>
        <v>0</v>
      </c>
      <c r="K5542" s="1477">
        <f t="shared" si="592"/>
        <v>0</v>
      </c>
      <c r="L5542" s="2211"/>
      <c r="M5542" s="2212"/>
      <c r="N5542" s="2210"/>
      <c r="O5542" s="2211"/>
      <c r="P5542" s="2212"/>
      <c r="Q5542" s="442"/>
      <c r="R5542" s="442"/>
      <c r="S5542" s="364"/>
      <c r="Z5542" s="609" t="s">
        <v>2129</v>
      </c>
      <c r="AA5542" s="609" t="s">
        <v>19</v>
      </c>
      <c r="AE5542" s="369" t="s">
        <v>2761</v>
      </c>
    </row>
    <row r="5543" spans="1:31" ht="17" hidden="1">
      <c r="A5543" s="2714"/>
      <c r="B5543" s="371">
        <v>139</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7" hidden="1">
      <c r="A5544" s="2714"/>
      <c r="B5544" s="371">
        <v>140</v>
      </c>
      <c r="C5544" s="371" t="s">
        <v>6534</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6" hidden="1">
      <c r="A5545" s="2714"/>
      <c r="B5545" s="371">
        <v>141</v>
      </c>
      <c r="C5545" s="371"/>
      <c r="D5545" s="2716">
        <f t="shared" si="589"/>
        <v>1</v>
      </c>
      <c r="E5545" s="2721">
        <v>1</v>
      </c>
      <c r="F5545" s="293"/>
      <c r="G5545" s="1474" t="s">
        <v>4561</v>
      </c>
      <c r="H5545" s="1476">
        <f>SUM(H5543:H5544)</f>
        <v>0</v>
      </c>
      <c r="I5545" s="1476">
        <f t="shared" ref="I5545:J5545" si="601">SUM(I5543:I5544)</f>
        <v>0</v>
      </c>
      <c r="J5545" s="1476">
        <f t="shared" si="601"/>
        <v>0</v>
      </c>
      <c r="K5545" s="1477">
        <f t="shared" si="592"/>
        <v>0</v>
      </c>
      <c r="L5545" s="2211"/>
      <c r="M5545" s="2212"/>
      <c r="N5545" s="2210"/>
      <c r="O5545" s="2211"/>
      <c r="P5545" s="2212"/>
      <c r="Q5545" s="442"/>
      <c r="R5545" s="442"/>
      <c r="S5545" s="364"/>
      <c r="Z5545" s="609" t="s">
        <v>2129</v>
      </c>
      <c r="AA5545" s="609" t="s">
        <v>19</v>
      </c>
      <c r="AE5545" s="369" t="s">
        <v>2761</v>
      </c>
    </row>
    <row r="5546" spans="1:31" ht="17.5" hidden="1" thickBot="1">
      <c r="A5546" s="2714"/>
      <c r="B5546" s="371"/>
      <c r="C5546" s="371"/>
      <c r="D5546" s="2716">
        <f t="shared" si="589"/>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7"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52">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6">
      <c r="A5550" s="2714"/>
      <c r="B5550" s="371"/>
      <c r="C5550" s="371"/>
      <c r="D5550" s="2716"/>
      <c r="E5550" s="586" t="s">
        <v>2749</v>
      </c>
      <c r="F5550" s="414"/>
      <c r="G5550" s="2453" t="s">
        <v>4565</v>
      </c>
      <c r="H5550" s="2461" t="str">
        <f>$W$2&amp;"公允价值"</f>
        <v>2019年12月31日公允价值</v>
      </c>
      <c r="I5550" s="2461" t="s">
        <v>4566</v>
      </c>
      <c r="J5550" s="2462" t="s">
        <v>4567</v>
      </c>
      <c r="K5550" s="355" t="s">
        <v>5350</v>
      </c>
      <c r="L5550" s="434"/>
      <c r="M5550" s="435"/>
      <c r="N5550" s="434"/>
      <c r="O5550" s="434"/>
      <c r="P5550" s="435"/>
      <c r="Q5550" s="442"/>
      <c r="R5550" s="443"/>
      <c r="S5550" s="364"/>
      <c r="Z5550" s="609" t="s">
        <v>2129</v>
      </c>
      <c r="AA5550" s="609" t="s">
        <v>19</v>
      </c>
    </row>
    <row r="5551" spans="1:31" ht="17">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52">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52">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7">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7.5" thickBot="1">
      <c r="A5555" s="2714"/>
      <c r="B5555" s="371"/>
      <c r="C5555" s="371"/>
      <c r="D5555" s="2716">
        <f>IF(OR(G5555="*",G5555="",G5555=0),0,COUNTIF($G$5551:$G$5555,G5555))</f>
        <v>0</v>
      </c>
      <c r="E5555" s="2721" t="s">
        <v>6557</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7">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52">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6">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5350</v>
      </c>
      <c r="M5559" s="435"/>
      <c r="N5559" s="434"/>
      <c r="O5559" s="434"/>
      <c r="P5559" s="435"/>
      <c r="Q5559" s="442"/>
      <c r="R5559" s="443"/>
      <c r="S5559" s="364"/>
      <c r="Z5559" s="609" t="s">
        <v>2129</v>
      </c>
      <c r="AA5559" s="609" t="s">
        <v>19</v>
      </c>
    </row>
    <row r="5560" spans="1:27" ht="17">
      <c r="A5560" s="2714"/>
      <c r="B5560" s="371">
        <v>101</v>
      </c>
      <c r="C5560" s="371"/>
      <c r="D5560" s="2716">
        <f t="shared" ref="D5560:D5573" si="602">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2">
      <c r="A5561" s="2714"/>
      <c r="B5561" s="371">
        <v>102</v>
      </c>
      <c r="C5561" s="371"/>
      <c r="D5561" s="2716">
        <f t="shared" si="602"/>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8">
      <c r="A5562" s="2714"/>
      <c r="B5562" s="371">
        <v>103</v>
      </c>
      <c r="C5562" s="371"/>
      <c r="D5562" s="2716">
        <f t="shared" si="602"/>
        <v>1</v>
      </c>
      <c r="E5562" s="2721">
        <v>1</v>
      </c>
      <c r="F5562" s="293"/>
      <c r="G5562" s="1518" t="s">
        <v>5361</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7">
      <c r="A5563" s="2714"/>
      <c r="B5563" s="371">
        <v>104</v>
      </c>
      <c r="C5563" s="371"/>
      <c r="D5563" s="2716">
        <f t="shared" si="602"/>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7">
      <c r="A5564" s="2714"/>
      <c r="B5564" s="371">
        <v>105</v>
      </c>
      <c r="C5564" s="371"/>
      <c r="D5564" s="2716">
        <f t="shared" si="602"/>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2">
      <c r="A5565" s="2714"/>
      <c r="B5565" s="371">
        <v>106</v>
      </c>
      <c r="C5565" s="371"/>
      <c r="D5565" s="2716">
        <f t="shared" si="602"/>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39">
      <c r="A5566" s="2714"/>
      <c r="B5566" s="371">
        <v>107</v>
      </c>
      <c r="C5566" s="371"/>
      <c r="D5566" s="2716">
        <f t="shared" si="602"/>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7">
      <c r="A5567" s="2714"/>
      <c r="B5567" s="371">
        <v>108</v>
      </c>
      <c r="C5567" s="371"/>
      <c r="D5567" s="2716">
        <f t="shared" si="602"/>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9">
      <c r="A5568" s="2714"/>
      <c r="B5568" s="371">
        <v>109</v>
      </c>
      <c r="C5568" s="371"/>
      <c r="D5568" s="2716">
        <f t="shared" si="602"/>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7">
      <c r="A5569" s="2714"/>
      <c r="B5569" s="371">
        <v>110</v>
      </c>
      <c r="C5569" s="371"/>
      <c r="D5569" s="2716">
        <f t="shared" si="602"/>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2">
      <c r="A5570" s="2714"/>
      <c r="B5570" s="371">
        <v>111</v>
      </c>
      <c r="C5570" s="371"/>
      <c r="D5570" s="2716">
        <f t="shared" si="602"/>
        <v>1</v>
      </c>
      <c r="E5570" s="2721">
        <v>1</v>
      </c>
      <c r="F5570" s="293"/>
      <c r="G5570" s="3269"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6">
      <c r="A5571" s="2714"/>
      <c r="B5571" s="371">
        <v>112</v>
      </c>
      <c r="C5571" s="371"/>
      <c r="D5571" s="2716">
        <f t="shared" si="602"/>
        <v>0</v>
      </c>
      <c r="E5571" s="2721">
        <v>1</v>
      </c>
      <c r="F5571" s="293"/>
      <c r="G5571" s="3269"/>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7">
      <c r="A5572" s="2714"/>
      <c r="B5572" s="371">
        <v>113</v>
      </c>
      <c r="C5572" s="371" t="s">
        <v>2791</v>
      </c>
      <c r="D5572" s="2716">
        <f t="shared" si="602"/>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7.5" thickBot="1">
      <c r="A5573" s="2714"/>
      <c r="B5573" s="371"/>
      <c r="C5573" s="371"/>
      <c r="D5573" s="2716">
        <f t="shared" si="602"/>
        <v>0</v>
      </c>
      <c r="E5573" s="2721" t="s">
        <v>6557</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7">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52">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84"/>
      <c r="L5575" s="315"/>
      <c r="M5575" s="301"/>
      <c r="N5575" s="3084"/>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161" t="s">
        <v>47</v>
      </c>
      <c r="H5578" s="3151" t="str">
        <f>$V$3</f>
        <v>2018年12月31日</v>
      </c>
      <c r="I5578" s="3149" t="s">
        <v>4619</v>
      </c>
      <c r="J5578" s="3149" t="s">
        <v>4620</v>
      </c>
      <c r="K5578" s="3149" t="s">
        <v>4621</v>
      </c>
      <c r="L5578" s="3149"/>
      <c r="M5578" s="3209" t="s">
        <v>4622</v>
      </c>
      <c r="N5578" s="3209"/>
      <c r="O5578" s="3209"/>
      <c r="P5578" s="3209"/>
      <c r="Q5578" s="3276" t="str">
        <f>$V$2</f>
        <v>2019年12月31日</v>
      </c>
      <c r="R5578" s="3280" t="s">
        <v>4623</v>
      </c>
      <c r="S5578" s="355" t="s">
        <v>5350</v>
      </c>
      <c r="Z5578" s="609" t="s">
        <v>2129</v>
      </c>
      <c r="AA5578" s="609"/>
    </row>
    <row r="5579" spans="1:27" ht="36" customHeight="1">
      <c r="A5579" s="2714"/>
      <c r="B5579" s="371"/>
      <c r="C5579" s="371"/>
      <c r="D5579" s="371"/>
      <c r="E5579" s="2716" t="s">
        <v>2749</v>
      </c>
      <c r="F5579" s="294"/>
      <c r="G5579" s="3162"/>
      <c r="H5579" s="3152"/>
      <c r="I5579" s="3150"/>
      <c r="J5579" s="3150"/>
      <c r="K5579" s="2463" t="s">
        <v>4624</v>
      </c>
      <c r="L5579" s="2463" t="s">
        <v>4625</v>
      </c>
      <c r="M5579" s="2497" t="s">
        <v>4626</v>
      </c>
      <c r="N5579" s="2497" t="s">
        <v>4627</v>
      </c>
      <c r="O5579" s="2497" t="s">
        <v>3300</v>
      </c>
      <c r="P5579" s="2497" t="s">
        <v>4628</v>
      </c>
      <c r="Q5579" s="3277"/>
      <c r="R5579" s="3281"/>
      <c r="S5579" s="364"/>
      <c r="Z5579" s="609" t="s">
        <v>2129</v>
      </c>
      <c r="AA5579" s="609"/>
    </row>
    <row r="5580" spans="1:27" ht="17">
      <c r="A5580" s="2714"/>
      <c r="B5580" s="371">
        <v>101</v>
      </c>
      <c r="C5580" s="371"/>
      <c r="D5580" s="2716">
        <f t="shared" ref="D5580:D5599" si="603">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7">
      <c r="A5581" s="2714"/>
      <c r="B5581" s="371">
        <v>102</v>
      </c>
      <c r="C5581" s="371"/>
      <c r="D5581" s="2716">
        <f t="shared" si="603"/>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7">
      <c r="A5582" s="2714"/>
      <c r="B5582" s="371">
        <v>103</v>
      </c>
      <c r="C5582" s="371"/>
      <c r="D5582" s="2716">
        <f t="shared" si="603"/>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9">
      <c r="A5583" s="2714"/>
      <c r="B5583" s="371">
        <v>104</v>
      </c>
      <c r="C5583" s="371"/>
      <c r="D5583" s="2716">
        <f t="shared" si="603"/>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7">
      <c r="A5584" s="2714"/>
      <c r="B5584" s="371">
        <v>105</v>
      </c>
      <c r="C5584" s="371"/>
      <c r="D5584" s="2716">
        <f t="shared" si="603"/>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7">
      <c r="A5585" s="2714"/>
      <c r="B5585" s="371">
        <v>106</v>
      </c>
      <c r="C5585" s="371"/>
      <c r="D5585" s="2716">
        <f t="shared" si="603"/>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7">
      <c r="A5586" s="2714"/>
      <c r="B5586" s="371">
        <v>107</v>
      </c>
      <c r="C5586" s="371"/>
      <c r="D5586" s="2716">
        <f t="shared" si="603"/>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7">
      <c r="A5587" s="2714"/>
      <c r="B5587" s="371">
        <v>108</v>
      </c>
      <c r="C5587" s="371"/>
      <c r="D5587" s="2716">
        <f t="shared" si="603"/>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7">
      <c r="A5588" s="2714"/>
      <c r="B5588" s="371">
        <v>109</v>
      </c>
      <c r="C5588" s="371"/>
      <c r="D5588" s="2716">
        <f t="shared" si="603"/>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7">
      <c r="A5589" s="2714"/>
      <c r="B5589" s="371">
        <v>110</v>
      </c>
      <c r="C5589" s="371"/>
      <c r="D5589" s="2716">
        <f t="shared" si="603"/>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7">
      <c r="A5590" s="2714"/>
      <c r="B5590" s="371">
        <v>111</v>
      </c>
      <c r="C5590" s="371"/>
      <c r="D5590" s="2716">
        <f t="shared" si="603"/>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7">
      <c r="A5591" s="2714"/>
      <c r="B5591" s="371">
        <v>112</v>
      </c>
      <c r="C5591" s="371"/>
      <c r="D5591" s="2716">
        <f t="shared" si="603"/>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6">
      <c r="A5592" s="2714"/>
      <c r="B5592" s="371">
        <v>113</v>
      </c>
      <c r="C5592" s="371"/>
      <c r="D5592" s="2716">
        <f t="shared" si="603"/>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7">
      <c r="A5593" s="2714"/>
      <c r="B5593" s="371">
        <v>114</v>
      </c>
      <c r="C5593" s="371"/>
      <c r="D5593" s="2716">
        <f t="shared" si="603"/>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7">
      <c r="A5594" s="2714"/>
      <c r="B5594" s="371">
        <v>115</v>
      </c>
      <c r="C5594" s="371"/>
      <c r="D5594" s="2716">
        <f t="shared" si="603"/>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7">
      <c r="A5595" s="2714"/>
      <c r="B5595" s="371">
        <v>116</v>
      </c>
      <c r="C5595" s="371"/>
      <c r="D5595" s="2716">
        <f t="shared" si="603"/>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7">
      <c r="A5596" s="2714"/>
      <c r="B5596" s="371">
        <v>117</v>
      </c>
      <c r="C5596" s="371" t="s">
        <v>2791</v>
      </c>
      <c r="D5596" s="2716">
        <f t="shared" si="603"/>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7">
      <c r="A5597" s="2714"/>
      <c r="B5597" s="371">
        <v>118</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7">
      <c r="A5598" s="2714"/>
      <c r="B5598" s="371">
        <v>119</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7.5" thickBot="1">
      <c r="A5599" s="2714"/>
      <c r="B5599" s="371"/>
      <c r="C5599" s="371"/>
      <c r="D5599" s="2716">
        <f t="shared" si="603"/>
        <v>1</v>
      </c>
      <c r="E5599" s="2721" t="s">
        <v>3032</v>
      </c>
      <c r="F5599" s="294"/>
      <c r="G5599" s="2234" t="s">
        <v>2752</v>
      </c>
      <c r="H5599" s="2325">
        <f t="shared" ref="H5599:R5599" si="604">SUMPRODUCT($E5579:$E5598,H5579:H5598)</f>
        <v>0</v>
      </c>
      <c r="I5599" s="2325">
        <f t="shared" si="604"/>
        <v>0</v>
      </c>
      <c r="J5599" s="2325">
        <f t="shared" si="604"/>
        <v>0</v>
      </c>
      <c r="K5599" s="2325">
        <f t="shared" si="604"/>
        <v>0</v>
      </c>
      <c r="L5599" s="2325">
        <f t="shared" si="604"/>
        <v>0</v>
      </c>
      <c r="M5599" s="2325">
        <f t="shared" si="604"/>
        <v>0</v>
      </c>
      <c r="N5599" s="2325">
        <f t="shared" si="604"/>
        <v>0</v>
      </c>
      <c r="O5599" s="2325">
        <f t="shared" si="604"/>
        <v>0</v>
      </c>
      <c r="P5599" s="2325">
        <f t="shared" si="604"/>
        <v>0</v>
      </c>
      <c r="Q5599" s="2325">
        <f t="shared" si="604"/>
        <v>0</v>
      </c>
      <c r="R5599" s="2342">
        <f t="shared" si="604"/>
        <v>0</v>
      </c>
      <c r="S5599" s="364"/>
      <c r="Z5599" s="609" t="s">
        <v>2129</v>
      </c>
      <c r="AA5599" s="609"/>
    </row>
    <row r="5600" spans="1:27" ht="17">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9">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84"/>
      <c r="L5601" s="315"/>
      <c r="M5601" s="301"/>
      <c r="N5601" s="3084"/>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6">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5350</v>
      </c>
      <c r="M5603" s="1604"/>
      <c r="N5603" s="1604"/>
      <c r="O5603" s="1604"/>
      <c r="P5603" s="1604"/>
      <c r="Q5603" s="1604"/>
      <c r="R5603" s="1604"/>
      <c r="S5603" s="364"/>
      <c r="Z5603" s="609" t="s">
        <v>2129</v>
      </c>
      <c r="AA5603" s="609"/>
    </row>
    <row r="5604" spans="1:27" ht="17">
      <c r="A5604" s="2714"/>
      <c r="B5604" s="371">
        <v>101</v>
      </c>
      <c r="C5604" s="371"/>
      <c r="D5604" s="2716">
        <f t="shared" ref="D5604:D5618" si="605">IF(OR(G5604="*",G5604="",G5604=0),0,COUNTIF($G$5604:$G$5618,G5604))</f>
        <v>1</v>
      </c>
      <c r="E5604" s="2721" t="s">
        <v>41</v>
      </c>
      <c r="F5604" s="294"/>
      <c r="G5604" s="308" t="s">
        <v>4520</v>
      </c>
      <c r="H5604" s="309"/>
      <c r="I5604" s="309"/>
      <c r="J5604" s="309"/>
      <c r="K5604" s="346"/>
      <c r="L5604" s="355" t="s">
        <v>6102</v>
      </c>
      <c r="M5604" s="1604"/>
      <c r="N5604" s="1604"/>
      <c r="O5604" s="1604"/>
      <c r="P5604" s="1604"/>
      <c r="Q5604" s="1604"/>
      <c r="R5604" s="1604"/>
      <c r="S5604" s="364"/>
      <c r="Z5604" s="609" t="s">
        <v>2129</v>
      </c>
      <c r="AA5604" s="609"/>
    </row>
    <row r="5605" spans="1:27" ht="17">
      <c r="A5605" s="2714"/>
      <c r="B5605" s="371">
        <v>101.001</v>
      </c>
      <c r="C5605" s="371" t="s">
        <v>2791</v>
      </c>
      <c r="D5605" s="2716">
        <f t="shared" si="605"/>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7">
      <c r="A5606" s="2714"/>
      <c r="B5606" s="371">
        <v>101.002</v>
      </c>
      <c r="C5606" s="371" t="s">
        <v>2791</v>
      </c>
      <c r="D5606" s="2716">
        <f t="shared" si="605"/>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9">
      <c r="A5607" s="2714"/>
      <c r="B5607" s="371">
        <v>101.003</v>
      </c>
      <c r="C5607" s="371" t="s">
        <v>2791</v>
      </c>
      <c r="D5607" s="2716">
        <f t="shared" si="605"/>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7">
      <c r="A5608" s="2714"/>
      <c r="B5608" s="371">
        <v>101.004</v>
      </c>
      <c r="C5608" s="371" t="s">
        <v>2791</v>
      </c>
      <c r="D5608" s="2716">
        <f t="shared" si="605"/>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7">
      <c r="A5609" s="2714"/>
      <c r="B5609" s="371">
        <v>101.005</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7">
      <c r="A5610" s="2714"/>
      <c r="B5610" s="371">
        <v>101.999</v>
      </c>
      <c r="C5610" s="371" t="s">
        <v>2793</v>
      </c>
      <c r="D5610" s="2716">
        <f t="shared" si="605"/>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7">
      <c r="A5611" s="2714"/>
      <c r="B5611" s="371">
        <v>102</v>
      </c>
      <c r="C5611" s="371"/>
      <c r="D5611" s="2716">
        <f t="shared" si="605"/>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6">
      <c r="A5612" s="2714"/>
      <c r="B5612" s="371">
        <v>103</v>
      </c>
      <c r="C5612" s="371" t="s">
        <v>2791</v>
      </c>
      <c r="D5612" s="2716">
        <f t="shared" si="605"/>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7">
      <c r="A5613" s="2714"/>
      <c r="B5613" s="371">
        <v>104</v>
      </c>
      <c r="C5613" s="371" t="s">
        <v>2791</v>
      </c>
      <c r="D5613" s="2716">
        <f t="shared" si="605"/>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7">
      <c r="A5614" s="2714"/>
      <c r="B5614" s="371">
        <v>105</v>
      </c>
      <c r="C5614" s="371" t="s">
        <v>2791</v>
      </c>
      <c r="D5614" s="2716">
        <f t="shared" si="605"/>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7">
      <c r="A5615" s="2714"/>
      <c r="B5615" s="371">
        <v>106</v>
      </c>
      <c r="C5615" s="371" t="s">
        <v>2791</v>
      </c>
      <c r="D5615" s="2716">
        <f t="shared" si="605"/>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7">
      <c r="A5616" s="2714"/>
      <c r="B5616" s="371">
        <v>107</v>
      </c>
      <c r="C5616" s="371" t="s">
        <v>2791</v>
      </c>
      <c r="D5616" s="2716">
        <f t="shared" si="605"/>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7">
      <c r="A5617" s="2714"/>
      <c r="B5617" s="371">
        <v>108</v>
      </c>
      <c r="C5617" s="371"/>
      <c r="D5617" s="2716">
        <f t="shared" si="605"/>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7.5" thickBot="1">
      <c r="A5618" s="2714"/>
      <c r="B5618" s="371"/>
      <c r="C5618" s="371"/>
      <c r="D5618" s="2716">
        <f t="shared" si="605"/>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7">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7">
      <c r="A5620" s="2714">
        <v>9120</v>
      </c>
      <c r="B5620" s="371" t="s">
        <v>6572</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6">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26">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5351</v>
      </c>
      <c r="L5623" s="434"/>
      <c r="M5623" s="435"/>
      <c r="N5623" s="434"/>
      <c r="O5623" s="434"/>
      <c r="P5623" s="435"/>
      <c r="Q5623" s="442"/>
      <c r="R5623" s="443"/>
      <c r="S5623" s="364"/>
      <c r="Z5623" s="609" t="s">
        <v>2066</v>
      </c>
      <c r="AA5623" s="609" t="s">
        <v>19</v>
      </c>
    </row>
    <row r="5624" spans="1:27" ht="17">
      <c r="A5624" s="2714"/>
      <c r="B5624" s="371">
        <v>101</v>
      </c>
      <c r="C5624" s="371" t="s">
        <v>2791</v>
      </c>
      <c r="D5624" s="2716">
        <f t="shared" ref="D5624:D5632" si="606">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7">
      <c r="A5625" s="2714"/>
      <c r="B5625" s="371">
        <v>102</v>
      </c>
      <c r="C5625" s="371" t="s">
        <v>2791</v>
      </c>
      <c r="D5625" s="2716">
        <f t="shared" si="606"/>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7">
      <c r="A5626" s="2714"/>
      <c r="B5626" s="371">
        <v>103</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7">
      <c r="A5627" s="2714"/>
      <c r="B5627" s="371">
        <v>104</v>
      </c>
      <c r="C5627" s="371" t="s">
        <v>2791</v>
      </c>
      <c r="D5627" s="2716">
        <f t="shared" si="606"/>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7">
      <c r="A5628" s="2714"/>
      <c r="B5628" s="371">
        <v>105</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7">
      <c r="A5629" s="2714"/>
      <c r="B5629" s="371">
        <v>106</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7">
      <c r="A5630" s="2714"/>
      <c r="B5630" s="371">
        <v>107</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7">
      <c r="A5631" s="2714"/>
      <c r="B5631" s="371">
        <v>108</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7.5" thickBot="1">
      <c r="A5632" s="2714"/>
      <c r="B5632" s="371"/>
      <c r="C5632" s="371"/>
      <c r="D5632" s="2716">
        <f t="shared" si="606"/>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7">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6">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26">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5351</v>
      </c>
      <c r="L5636" s="434"/>
      <c r="M5636" s="435"/>
      <c r="N5636" s="434"/>
      <c r="O5636" s="434"/>
      <c r="P5636" s="435"/>
      <c r="Q5636" s="442"/>
      <c r="R5636" s="443"/>
      <c r="S5636" s="364"/>
      <c r="Z5636" s="609" t="s">
        <v>2066</v>
      </c>
      <c r="AA5636" s="609" t="s">
        <v>19</v>
      </c>
    </row>
    <row r="5637" spans="1:27" ht="17">
      <c r="A5637" s="2714"/>
      <c r="B5637" s="371">
        <v>101</v>
      </c>
      <c r="C5637" s="371" t="s">
        <v>2791</v>
      </c>
      <c r="D5637" s="2716">
        <f t="shared" ref="D5637:D5645" si="607">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7">
      <c r="A5638" s="2714"/>
      <c r="B5638" s="371">
        <v>102</v>
      </c>
      <c r="C5638" s="371" t="s">
        <v>2791</v>
      </c>
      <c r="D5638" s="2716">
        <f t="shared" si="607"/>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7">
      <c r="A5639" s="2714"/>
      <c r="B5639" s="371">
        <v>103</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7">
      <c r="A5640" s="2714"/>
      <c r="B5640" s="371">
        <v>104</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7">
      <c r="A5641" s="2714"/>
      <c r="B5641" s="371">
        <v>105</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7">
      <c r="A5642" s="2714"/>
      <c r="B5642" s="371">
        <v>106</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7">
      <c r="A5643" s="2714"/>
      <c r="B5643" s="371">
        <v>107</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7">
      <c r="A5644" s="2714"/>
      <c r="B5644" s="371">
        <v>108</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7.5" thickBot="1">
      <c r="A5645" s="2714"/>
      <c r="B5645" s="371"/>
      <c r="C5645" s="371"/>
      <c r="D5645" s="2716">
        <f t="shared" si="607"/>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7">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6">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84"/>
      <c r="L5647" s="315"/>
      <c r="M5647" s="301"/>
      <c r="N5647" s="3084"/>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39">
      <c r="A5649" s="2714"/>
      <c r="B5649" s="371"/>
      <c r="C5649" s="371"/>
      <c r="D5649" s="371"/>
      <c r="E5649" s="586" t="s">
        <v>2749</v>
      </c>
      <c r="F5649" s="363"/>
      <c r="G5649" s="2457" t="s">
        <v>5239</v>
      </c>
      <c r="H5649" s="2464" t="s">
        <v>5240</v>
      </c>
      <c r="I5649" s="2464" t="s">
        <v>5241</v>
      </c>
      <c r="J5649" s="2464" t="s">
        <v>5242</v>
      </c>
      <c r="K5649" s="2464" t="s">
        <v>5243</v>
      </c>
      <c r="L5649" s="2464" t="s">
        <v>5244</v>
      </c>
      <c r="M5649" s="2469" t="s">
        <v>5245</v>
      </c>
      <c r="N5649" s="355" t="s">
        <v>5351</v>
      </c>
      <c r="O5649" s="291"/>
      <c r="P5649" s="291"/>
      <c r="S5649" s="364"/>
      <c r="Z5649" s="609" t="s">
        <v>2066</v>
      </c>
      <c r="AA5649" s="609"/>
    </row>
    <row r="5650" spans="1:27" ht="17">
      <c r="A5650" s="2714"/>
      <c r="B5650" s="371">
        <v>101</v>
      </c>
      <c r="C5650" s="371" t="s">
        <v>2791</v>
      </c>
      <c r="D5650" s="2716">
        <f t="shared" ref="D5650:D5655" si="608">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7">
      <c r="A5651" s="2714"/>
      <c r="B5651" s="371">
        <v>102</v>
      </c>
      <c r="C5651" s="371" t="s">
        <v>2791</v>
      </c>
      <c r="D5651" s="2716">
        <f t="shared" si="608"/>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7">
      <c r="A5652" s="2714"/>
      <c r="B5652" s="371">
        <v>103</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7">
      <c r="A5653" s="2714"/>
      <c r="B5653" s="371">
        <v>104</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7">
      <c r="A5654" s="2714"/>
      <c r="B5654" s="371">
        <v>105</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7.5" thickBot="1">
      <c r="A5655" s="2714"/>
      <c r="B5655" s="371"/>
      <c r="C5655" s="371"/>
      <c r="D5655" s="2716">
        <f t="shared" si="608"/>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7">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6">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84"/>
      <c r="L5657" s="315"/>
      <c r="M5657" s="301"/>
      <c r="N5657" s="3084"/>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6">
      <c r="A5659" s="2714"/>
      <c r="B5659" s="371"/>
      <c r="C5659" s="371"/>
      <c r="D5659" s="371"/>
      <c r="E5659" s="586" t="s">
        <v>2749</v>
      </c>
      <c r="F5659" s="363"/>
      <c r="G5659" s="2457" t="s">
        <v>5239</v>
      </c>
      <c r="H5659" s="2464" t="s">
        <v>5240</v>
      </c>
      <c r="I5659" s="2464" t="s">
        <v>5246</v>
      </c>
      <c r="J5659" s="2464" t="s">
        <v>5247</v>
      </c>
      <c r="K5659" s="2464" t="s">
        <v>5248</v>
      </c>
      <c r="L5659" s="2464" t="s">
        <v>5249</v>
      </c>
      <c r="M5659" s="2469" t="s">
        <v>5250</v>
      </c>
      <c r="N5659" s="355" t="s">
        <v>5351</v>
      </c>
      <c r="O5659" s="291"/>
      <c r="P5659" s="291"/>
      <c r="S5659" s="364"/>
      <c r="Z5659" s="609" t="s">
        <v>2066</v>
      </c>
      <c r="AA5659" s="609"/>
    </row>
    <row r="5660" spans="1:27" ht="17">
      <c r="A5660" s="2714"/>
      <c r="B5660" s="371">
        <v>101</v>
      </c>
      <c r="C5660" s="371" t="s">
        <v>2791</v>
      </c>
      <c r="D5660" s="2716">
        <f t="shared" ref="D5660:D5665" si="609">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7">
      <c r="A5661" s="2714"/>
      <c r="B5661" s="371">
        <v>102</v>
      </c>
      <c r="C5661" s="371" t="s">
        <v>2791</v>
      </c>
      <c r="D5661" s="2716">
        <f t="shared" si="609"/>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7">
      <c r="A5662" s="2714"/>
      <c r="B5662" s="371">
        <v>103</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7">
      <c r="A5663" s="2714"/>
      <c r="B5663" s="371">
        <v>104</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7">
      <c r="A5664" s="2714"/>
      <c r="B5664" s="371">
        <v>105</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7.5" thickBot="1">
      <c r="A5665" s="2714"/>
      <c r="B5665" s="371"/>
      <c r="C5665" s="371"/>
      <c r="D5665" s="2716">
        <f t="shared" si="609"/>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7">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6">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84"/>
      <c r="L5667" s="315"/>
      <c r="M5667" s="301"/>
      <c r="N5667" s="3084"/>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6">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5351</v>
      </c>
      <c r="L5669" s="301"/>
      <c r="M5669" s="301"/>
      <c r="N5669" s="291"/>
      <c r="O5669" s="291"/>
      <c r="P5669" s="291"/>
      <c r="S5669" s="364"/>
      <c r="Z5669" s="609" t="s">
        <v>2066</v>
      </c>
      <c r="AA5669" s="609"/>
    </row>
    <row r="5670" spans="1:27" ht="17">
      <c r="A5670" s="2714"/>
      <c r="B5670" s="371">
        <v>101</v>
      </c>
      <c r="C5670" s="371" t="s">
        <v>2791</v>
      </c>
      <c r="D5670" s="2716">
        <f t="shared" ref="D5670:D5675" si="610">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7">
      <c r="A5671" s="2714"/>
      <c r="B5671" s="371">
        <v>102</v>
      </c>
      <c r="C5671" s="371" t="s">
        <v>2791</v>
      </c>
      <c r="D5671" s="2716">
        <f t="shared" si="610"/>
        <v>0</v>
      </c>
      <c r="E5671" s="2721">
        <v>1</v>
      </c>
      <c r="F5671" s="294"/>
      <c r="G5671" s="2467" t="s">
        <v>2792</v>
      </c>
      <c r="H5671" s="2298"/>
      <c r="I5671" s="2275"/>
      <c r="J5671" s="2296"/>
      <c r="K5671" s="301"/>
      <c r="L5671" s="301"/>
      <c r="M5671" s="301"/>
      <c r="N5671" s="291"/>
      <c r="O5671" s="291"/>
      <c r="P5671" s="291"/>
      <c r="S5671" s="364"/>
      <c r="Z5671" s="609" t="s">
        <v>2066</v>
      </c>
      <c r="AA5671" s="609"/>
    </row>
    <row r="5672" spans="1:27" ht="17">
      <c r="A5672" s="2714"/>
      <c r="B5672" s="371">
        <v>103</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7">
      <c r="A5673" s="2714"/>
      <c r="B5673" s="371">
        <v>104</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7">
      <c r="A5674" s="2714"/>
      <c r="B5674" s="371">
        <v>105</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7.5" thickBot="1">
      <c r="A5675" s="2714"/>
      <c r="B5675" s="371"/>
      <c r="C5675" s="371"/>
      <c r="D5675" s="2716">
        <f t="shared" si="610"/>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7">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6">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84"/>
      <c r="L5677" s="315"/>
      <c r="M5677" s="301"/>
      <c r="N5677" s="3084"/>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6">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5351</v>
      </c>
      <c r="L5679" s="301"/>
      <c r="M5679" s="301"/>
      <c r="N5679" s="291"/>
      <c r="O5679" s="291"/>
      <c r="P5679" s="291"/>
      <c r="S5679" s="364"/>
      <c r="Z5679" s="609" t="s">
        <v>2066</v>
      </c>
      <c r="AA5679" s="609"/>
    </row>
    <row r="5680" spans="1:27" ht="17">
      <c r="A5680" s="2714"/>
      <c r="B5680" s="371">
        <v>101</v>
      </c>
      <c r="C5680" s="371" t="s">
        <v>2791</v>
      </c>
      <c r="D5680" s="2716">
        <f t="shared" ref="D5680:D5685" si="611">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7">
      <c r="A5681" s="2714"/>
      <c r="B5681" s="371">
        <v>102</v>
      </c>
      <c r="C5681" s="371" t="s">
        <v>2791</v>
      </c>
      <c r="D5681" s="2716">
        <f t="shared" si="611"/>
        <v>0</v>
      </c>
      <c r="E5681" s="2721">
        <v>1</v>
      </c>
      <c r="F5681" s="294"/>
      <c r="G5681" s="2467" t="s">
        <v>2792</v>
      </c>
      <c r="H5681" s="2298"/>
      <c r="I5681" s="2275"/>
      <c r="J5681" s="2296"/>
      <c r="K5681" s="301"/>
      <c r="L5681" s="301"/>
      <c r="M5681" s="301"/>
      <c r="N5681" s="291"/>
      <c r="O5681" s="291"/>
      <c r="P5681" s="291"/>
      <c r="S5681" s="364"/>
      <c r="Z5681" s="609" t="s">
        <v>2066</v>
      </c>
      <c r="AA5681" s="609"/>
    </row>
    <row r="5682" spans="1:27" ht="17">
      <c r="A5682" s="2714"/>
      <c r="B5682" s="371">
        <v>103</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7">
      <c r="A5683" s="2714"/>
      <c r="B5683" s="371">
        <v>104</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7">
      <c r="A5684" s="2714"/>
      <c r="B5684" s="371">
        <v>105</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7.5" thickBot="1">
      <c r="A5685" s="2714"/>
      <c r="B5685" s="371"/>
      <c r="C5685" s="371"/>
      <c r="D5685" s="2716">
        <f t="shared" si="611"/>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7">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6">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84"/>
      <c r="L5687" s="315"/>
      <c r="M5687" s="301"/>
      <c r="N5687" s="3084"/>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6">
      <c r="A5689" s="2714"/>
      <c r="B5689" s="371"/>
      <c r="C5689" s="371"/>
      <c r="D5689" s="371"/>
      <c r="E5689" s="2716" t="s">
        <v>2749</v>
      </c>
      <c r="F5689" s="294"/>
      <c r="G5689" s="410" t="s">
        <v>4463</v>
      </c>
      <c r="H5689" s="506" t="s">
        <v>4464</v>
      </c>
      <c r="I5689" s="412" t="s">
        <v>4465</v>
      </c>
      <c r="J5689" s="506" t="s">
        <v>4466</v>
      </c>
      <c r="K5689" s="507" t="s">
        <v>4467</v>
      </c>
      <c r="L5689" s="355" t="s">
        <v>5351</v>
      </c>
      <c r="M5689" s="301"/>
      <c r="N5689" s="291"/>
      <c r="O5689" s="291"/>
      <c r="P5689" s="291"/>
      <c r="S5689" s="364"/>
      <c r="Z5689" s="609" t="s">
        <v>2066</v>
      </c>
      <c r="AA5689" s="609"/>
    </row>
    <row r="5690" spans="1:27" ht="17">
      <c r="A5690" s="2714"/>
      <c r="B5690" s="371">
        <v>101</v>
      </c>
      <c r="C5690" s="371" t="s">
        <v>2791</v>
      </c>
      <c r="D5690" s="2716">
        <f t="shared" ref="D5690:D5695" si="612">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7">
      <c r="A5691" s="2714"/>
      <c r="B5691" s="371">
        <v>102</v>
      </c>
      <c r="C5691" s="371" t="s">
        <v>2791</v>
      </c>
      <c r="D5691" s="2716">
        <f t="shared" si="612"/>
        <v>0</v>
      </c>
      <c r="E5691" s="2721">
        <v>1</v>
      </c>
      <c r="F5691" s="294"/>
      <c r="G5691" s="319" t="s">
        <v>2792</v>
      </c>
      <c r="H5691" s="309"/>
      <c r="I5691" s="360"/>
      <c r="J5691" s="360"/>
      <c r="K5691" s="388"/>
      <c r="L5691" s="301"/>
      <c r="M5691" s="301"/>
      <c r="N5691" s="291"/>
      <c r="O5691" s="291"/>
      <c r="P5691" s="291"/>
      <c r="S5691" s="364"/>
      <c r="Z5691" s="609" t="s">
        <v>2066</v>
      </c>
      <c r="AA5691" s="609"/>
    </row>
    <row r="5692" spans="1:27" ht="17">
      <c r="A5692" s="2714"/>
      <c r="B5692" s="371">
        <v>103</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7">
      <c r="A5693" s="2714"/>
      <c r="B5693" s="371">
        <v>104</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7">
      <c r="A5694" s="2714"/>
      <c r="B5694" s="371">
        <v>105</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7.5" thickBot="1">
      <c r="A5695" s="2714"/>
      <c r="B5695" s="371"/>
      <c r="C5695" s="371"/>
      <c r="D5695" s="2716">
        <f t="shared" si="612"/>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7">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6">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84"/>
      <c r="L5697" s="315"/>
      <c r="M5697" s="301"/>
      <c r="N5697" s="3084"/>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6">
      <c r="A5699" s="2714"/>
      <c r="B5699" s="371"/>
      <c r="C5699" s="371"/>
      <c r="D5699" s="371"/>
      <c r="E5699" s="586" t="s">
        <v>2749</v>
      </c>
      <c r="F5699" s="363"/>
      <c r="G5699" s="2457" t="s">
        <v>4469</v>
      </c>
      <c r="H5699" s="2464" t="s">
        <v>4464</v>
      </c>
      <c r="I5699" s="2464" t="s">
        <v>4465</v>
      </c>
      <c r="J5699" s="2464" t="s">
        <v>4466</v>
      </c>
      <c r="K5699" s="2469" t="s">
        <v>4467</v>
      </c>
      <c r="L5699" s="355" t="s">
        <v>5351</v>
      </c>
      <c r="M5699" s="301"/>
      <c r="N5699" s="291"/>
      <c r="O5699" s="291"/>
      <c r="P5699" s="291"/>
      <c r="S5699" s="364"/>
      <c r="Z5699" s="609" t="s">
        <v>2066</v>
      </c>
      <c r="AA5699" s="609"/>
    </row>
    <row r="5700" spans="1:27" ht="17">
      <c r="A5700" s="2714"/>
      <c r="B5700" s="371">
        <v>101</v>
      </c>
      <c r="C5700" s="371" t="s">
        <v>2791</v>
      </c>
      <c r="D5700" s="2716">
        <f t="shared" ref="D5700:D5705" si="613">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7">
      <c r="A5701" s="2714"/>
      <c r="B5701" s="371">
        <v>102</v>
      </c>
      <c r="C5701" s="371" t="s">
        <v>2791</v>
      </c>
      <c r="D5701" s="2716">
        <f t="shared" si="613"/>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7">
      <c r="A5702" s="2714"/>
      <c r="B5702" s="371">
        <v>103</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7">
      <c r="A5703" s="2714"/>
      <c r="B5703" s="371">
        <v>104</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7">
      <c r="A5704" s="2714"/>
      <c r="B5704" s="371">
        <v>105</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7.5" thickBot="1">
      <c r="A5705" s="2714"/>
      <c r="B5705" s="371"/>
      <c r="C5705" s="371"/>
      <c r="D5705" s="2716">
        <f t="shared" si="613"/>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7">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6">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84"/>
      <c r="L5707" s="315"/>
      <c r="M5707" s="301"/>
      <c r="N5707" s="3084"/>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7">
      <c r="A5709" s="2714"/>
      <c r="B5709" s="371"/>
      <c r="C5709" s="371"/>
      <c r="D5709" s="371"/>
      <c r="E5709" s="2716" t="s">
        <v>2749</v>
      </c>
      <c r="F5709" s="294"/>
      <c r="G5709" s="410" t="s">
        <v>1423</v>
      </c>
      <c r="H5709" s="506" t="s">
        <v>4473</v>
      </c>
      <c r="I5709" s="412" t="s">
        <v>4474</v>
      </c>
      <c r="J5709" s="506" t="s">
        <v>3322</v>
      </c>
      <c r="K5709" s="507" t="s">
        <v>2758</v>
      </c>
      <c r="L5709" s="355" t="s">
        <v>5351</v>
      </c>
      <c r="M5709" s="301"/>
      <c r="N5709" s="291"/>
      <c r="O5709" s="291"/>
      <c r="P5709" s="291"/>
      <c r="S5709" s="364"/>
      <c r="Z5709" s="609" t="s">
        <v>2066</v>
      </c>
      <c r="AA5709" s="609"/>
    </row>
    <row r="5710" spans="1:27" ht="17">
      <c r="A5710" s="2714"/>
      <c r="B5710" s="371">
        <v>101</v>
      </c>
      <c r="C5710" s="371" t="s">
        <v>2791</v>
      </c>
      <c r="D5710" s="2716">
        <f t="shared" ref="D5710:D5715" si="614">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7">
      <c r="A5711" s="2714"/>
      <c r="B5711" s="371">
        <v>102</v>
      </c>
      <c r="C5711" s="371" t="s">
        <v>2791</v>
      </c>
      <c r="D5711" s="2716">
        <f t="shared" si="614"/>
        <v>0</v>
      </c>
      <c r="E5711" s="2721">
        <v>1</v>
      </c>
      <c r="F5711" s="294"/>
      <c r="G5711" s="319" t="s">
        <v>2792</v>
      </c>
      <c r="H5711" s="309"/>
      <c r="I5711" s="360"/>
      <c r="J5711" s="360"/>
      <c r="K5711" s="388"/>
      <c r="L5711" s="301"/>
      <c r="M5711" s="301"/>
      <c r="N5711" s="291"/>
      <c r="O5711" s="291"/>
      <c r="P5711" s="291"/>
      <c r="S5711" s="364"/>
      <c r="Z5711" s="609" t="s">
        <v>2066</v>
      </c>
      <c r="AA5711" s="609"/>
    </row>
    <row r="5712" spans="1:27" ht="17">
      <c r="A5712" s="2714"/>
      <c r="B5712" s="371">
        <v>103</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7">
      <c r="A5713" s="2714"/>
      <c r="B5713" s="371">
        <v>104</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7">
      <c r="A5714" s="2714"/>
      <c r="B5714" s="371">
        <v>105</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7.5" thickBot="1">
      <c r="A5715" s="2714"/>
      <c r="B5715" s="371"/>
      <c r="C5715" s="371"/>
      <c r="D5715" s="2716">
        <f t="shared" si="614"/>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7">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6">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84"/>
      <c r="L5717" s="315"/>
      <c r="M5717" s="301"/>
      <c r="N5717" s="3084"/>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7">
      <c r="A5719" s="2714"/>
      <c r="B5719" s="371"/>
      <c r="C5719" s="371"/>
      <c r="D5719" s="371"/>
      <c r="E5719" s="586" t="s">
        <v>2749</v>
      </c>
      <c r="F5719" s="363"/>
      <c r="G5719" s="2457" t="s">
        <v>1423</v>
      </c>
      <c r="H5719" s="2464" t="s">
        <v>4473</v>
      </c>
      <c r="I5719" s="2464" t="s">
        <v>4474</v>
      </c>
      <c r="J5719" s="2464" t="s">
        <v>3322</v>
      </c>
      <c r="K5719" s="2469" t="s">
        <v>2758</v>
      </c>
      <c r="L5719" s="355" t="s">
        <v>5351</v>
      </c>
      <c r="M5719" s="301"/>
      <c r="N5719" s="291"/>
      <c r="O5719" s="291"/>
      <c r="P5719" s="291"/>
      <c r="S5719" s="364"/>
      <c r="Z5719" s="609" t="s">
        <v>2066</v>
      </c>
      <c r="AA5719" s="609"/>
    </row>
    <row r="5720" spans="1:27" ht="17">
      <c r="A5720" s="2714"/>
      <c r="B5720" s="371">
        <v>101</v>
      </c>
      <c r="C5720" s="371" t="s">
        <v>2791</v>
      </c>
      <c r="D5720" s="2716">
        <f t="shared" ref="D5720:D5725" si="615">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7">
      <c r="A5721" s="2714"/>
      <c r="B5721" s="371">
        <v>102</v>
      </c>
      <c r="C5721" s="371" t="s">
        <v>2791</v>
      </c>
      <c r="D5721" s="2716">
        <f t="shared" si="615"/>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7">
      <c r="A5722" s="2714"/>
      <c r="B5722" s="371">
        <v>103</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7">
      <c r="A5723" s="2714"/>
      <c r="B5723" s="371">
        <v>104</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7">
      <c r="A5724" s="2714"/>
      <c r="B5724" s="371">
        <v>105</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7.5" thickBot="1">
      <c r="A5725" s="2714"/>
      <c r="B5725" s="371"/>
      <c r="C5725" s="371"/>
      <c r="D5725" s="2716">
        <f t="shared" si="615"/>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7">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6">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84"/>
      <c r="L5727" s="315"/>
      <c r="M5727" s="301"/>
      <c r="N5727" s="3084"/>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26">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5351</v>
      </c>
      <c r="L5729" s="301"/>
      <c r="M5729" s="301"/>
      <c r="N5729" s="291"/>
      <c r="O5729" s="291"/>
      <c r="P5729" s="291"/>
      <c r="S5729" s="364"/>
      <c r="Z5729" s="609" t="s">
        <v>2066</v>
      </c>
      <c r="AA5729" s="609"/>
    </row>
    <row r="5730" spans="1:27" ht="17">
      <c r="A5730" s="2714"/>
      <c r="B5730" s="371">
        <v>101</v>
      </c>
      <c r="C5730" s="371" t="s">
        <v>2791</v>
      </c>
      <c r="D5730" s="2716">
        <f t="shared" ref="D5730:D5735" si="616">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7">
      <c r="A5731" s="2714"/>
      <c r="B5731" s="371">
        <v>102</v>
      </c>
      <c r="C5731" s="371" t="s">
        <v>2791</v>
      </c>
      <c r="D5731" s="2716">
        <f t="shared" si="616"/>
        <v>0</v>
      </c>
      <c r="E5731" s="2721">
        <v>1</v>
      </c>
      <c r="F5731" s="294"/>
      <c r="G5731" s="319" t="s">
        <v>2792</v>
      </c>
      <c r="H5731" s="360"/>
      <c r="I5731" s="309"/>
      <c r="J5731" s="346"/>
      <c r="K5731" s="301"/>
      <c r="L5731" s="301"/>
      <c r="M5731" s="301"/>
      <c r="N5731" s="291"/>
      <c r="O5731" s="291"/>
      <c r="P5731" s="291"/>
      <c r="S5731" s="364"/>
      <c r="Z5731" s="609" t="s">
        <v>2066</v>
      </c>
      <c r="AA5731" s="609"/>
    </row>
    <row r="5732" spans="1:27" ht="17">
      <c r="A5732" s="2714"/>
      <c r="B5732" s="371">
        <v>103</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7">
      <c r="A5733" s="2714"/>
      <c r="B5733" s="371">
        <v>104</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7">
      <c r="A5734" s="2714"/>
      <c r="B5734" s="371">
        <v>105</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7.5" thickBot="1">
      <c r="A5735" s="2714"/>
      <c r="B5735" s="371"/>
      <c r="C5735" s="371"/>
      <c r="D5735" s="2716">
        <f t="shared" si="616"/>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7">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6">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84"/>
      <c r="L5737" s="315"/>
      <c r="M5737" s="301"/>
      <c r="N5737" s="3084"/>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26">
      <c r="A5739" s="2714"/>
      <c r="B5739" s="371"/>
      <c r="C5739" s="371"/>
      <c r="D5739" s="371"/>
      <c r="E5739" s="2716" t="s">
        <v>2749</v>
      </c>
      <c r="F5739" s="294"/>
      <c r="G5739" s="410" t="s">
        <v>1423</v>
      </c>
      <c r="H5739" s="412" t="str">
        <f>$W$4&amp;"发生额"</f>
        <v>2019年度发生额</v>
      </c>
      <c r="I5739" s="507" t="str">
        <f>$W$5&amp;"发生额"</f>
        <v>2018年度发生额</v>
      </c>
      <c r="J5739" s="355" t="s">
        <v>5351</v>
      </c>
      <c r="K5739" s="301"/>
      <c r="L5739" s="301"/>
      <c r="M5739" s="301"/>
      <c r="N5739" s="291"/>
      <c r="O5739" s="291"/>
      <c r="P5739" s="291"/>
      <c r="S5739" s="364"/>
      <c r="Z5739" s="609" t="s">
        <v>2066</v>
      </c>
      <c r="AA5739" s="609"/>
    </row>
    <row r="5740" spans="1:27" ht="17">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7">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26.5" thickBot="1">
      <c r="A5743" s="2714"/>
      <c r="B5743" s="371">
        <v>901</v>
      </c>
      <c r="C5743" s="371"/>
      <c r="D5743" s="2716"/>
      <c r="E5743" s="2716" t="s">
        <v>2753</v>
      </c>
      <c r="F5743" s="294"/>
      <c r="G5743" s="1602" t="s">
        <v>5525</v>
      </c>
      <c r="H5743" s="1600"/>
      <c r="I5743" s="1601"/>
      <c r="J5743" s="315"/>
      <c r="K5743" s="301"/>
      <c r="L5743" s="301"/>
      <c r="M5743" s="301"/>
      <c r="N5743" s="291"/>
      <c r="O5743" s="291"/>
      <c r="P5743" s="291"/>
      <c r="S5743" s="364"/>
      <c r="Z5743" s="609" t="s">
        <v>2066</v>
      </c>
      <c r="AA5743" s="609"/>
    </row>
    <row r="5744" spans="1:27" ht="17">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6">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170" t="s">
        <v>1476</v>
      </c>
      <c r="H5748" s="3202" t="s">
        <v>1423</v>
      </c>
      <c r="I5748" s="3204" t="str">
        <f>$V$2</f>
        <v>2019年12月31日</v>
      </c>
      <c r="J5748" s="3205"/>
      <c r="K5748" s="3199" t="str">
        <f>$V$3</f>
        <v>2018年12月31日</v>
      </c>
      <c r="L5748" s="3200"/>
      <c r="M5748" s="355" t="s">
        <v>5352</v>
      </c>
      <c r="N5748" s="428"/>
      <c r="O5748" s="428"/>
      <c r="P5748" s="433"/>
      <c r="Q5748" s="442"/>
      <c r="R5748" s="443"/>
      <c r="S5748" s="364"/>
      <c r="Z5748" s="609" t="s">
        <v>2066</v>
      </c>
      <c r="AA5748" s="609" t="s">
        <v>19</v>
      </c>
    </row>
    <row r="5749" spans="1:27" ht="17">
      <c r="A5749" s="2714"/>
      <c r="B5749" s="371"/>
      <c r="C5749" s="371"/>
      <c r="D5749" s="2716"/>
      <c r="E5749" s="586" t="s">
        <v>2749</v>
      </c>
      <c r="F5749" s="414"/>
      <c r="G5749" s="3171"/>
      <c r="H5749" s="3203"/>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7">
      <c r="A5750" s="2714"/>
      <c r="B5750" s="371">
        <v>101</v>
      </c>
      <c r="C5750" s="371" t="s">
        <v>2791</v>
      </c>
      <c r="D5750" s="2716">
        <f t="shared" ref="D5750:D5758" si="617">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7">
      <c r="A5751" s="2714"/>
      <c r="B5751" s="371">
        <v>102</v>
      </c>
      <c r="C5751" s="371" t="s">
        <v>2791</v>
      </c>
      <c r="D5751" s="2716">
        <f t="shared" si="617"/>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7">
      <c r="A5752" s="2714"/>
      <c r="B5752" s="371">
        <v>103</v>
      </c>
      <c r="C5752" s="371" t="s">
        <v>2791</v>
      </c>
      <c r="D5752" s="2716">
        <f t="shared" si="617"/>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7">
      <c r="A5753" s="2714"/>
      <c r="B5753" s="371">
        <v>104</v>
      </c>
      <c r="C5753" s="371" t="s">
        <v>2791</v>
      </c>
      <c r="D5753" s="2716">
        <f t="shared" si="617"/>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7">
      <c r="A5754" s="2714"/>
      <c r="B5754" s="371">
        <v>105</v>
      </c>
      <c r="C5754" s="371" t="s">
        <v>2791</v>
      </c>
      <c r="D5754" s="2716">
        <f t="shared" si="617"/>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7">
      <c r="A5755" s="2714"/>
      <c r="B5755" s="371">
        <v>106</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7">
      <c r="A5756" s="2714"/>
      <c r="B5756" s="371">
        <v>107</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7">
      <c r="A5757" s="2714"/>
      <c r="B5757" s="371">
        <v>108</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7.5" thickBot="1">
      <c r="A5758" s="2714"/>
      <c r="B5758" s="371"/>
      <c r="C5758" s="371"/>
      <c r="D5758" s="2716">
        <f t="shared" si="617"/>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7">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6">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26">
      <c r="A5762" s="2714"/>
      <c r="B5762" s="371"/>
      <c r="C5762" s="371"/>
      <c r="D5762" s="2716"/>
      <c r="E5762" s="586" t="s">
        <v>2749</v>
      </c>
      <c r="F5762" s="414"/>
      <c r="G5762" s="2457" t="s">
        <v>1476</v>
      </c>
      <c r="H5762" s="2464" t="s">
        <v>1423</v>
      </c>
      <c r="I5762" s="2503" t="str">
        <f>$V$2</f>
        <v>2019年12月31日</v>
      </c>
      <c r="J5762" s="2504" t="str">
        <f>$V$3</f>
        <v>2018年12月31日</v>
      </c>
      <c r="K5762" s="355" t="s">
        <v>5352</v>
      </c>
      <c r="L5762" s="434"/>
      <c r="M5762" s="435"/>
      <c r="N5762" s="434"/>
      <c r="O5762" s="434"/>
      <c r="P5762" s="435"/>
      <c r="Q5762" s="442"/>
      <c r="R5762" s="443"/>
      <c r="S5762" s="364"/>
      <c r="Z5762" s="609" t="s">
        <v>2066</v>
      </c>
      <c r="AA5762" s="609" t="s">
        <v>19</v>
      </c>
    </row>
    <row r="5763" spans="1:27" ht="17">
      <c r="A5763" s="2714"/>
      <c r="B5763" s="371">
        <v>101</v>
      </c>
      <c r="C5763" s="371" t="s">
        <v>2791</v>
      </c>
      <c r="D5763" s="2716">
        <f t="shared" ref="D5763:D5771" si="618">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7">
      <c r="A5764" s="2714"/>
      <c r="B5764" s="371">
        <v>102</v>
      </c>
      <c r="C5764" s="371" t="s">
        <v>2791</v>
      </c>
      <c r="D5764" s="2716">
        <f t="shared" si="618"/>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7">
      <c r="A5765" s="2714"/>
      <c r="B5765" s="371">
        <v>103</v>
      </c>
      <c r="C5765" s="371" t="s">
        <v>2791</v>
      </c>
      <c r="D5765" s="2716">
        <f t="shared" si="618"/>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7">
      <c r="A5766" s="2714"/>
      <c r="B5766" s="371">
        <v>104</v>
      </c>
      <c r="C5766" s="371" t="s">
        <v>2791</v>
      </c>
      <c r="D5766" s="2716">
        <f t="shared" si="618"/>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7">
      <c r="A5767" s="2714"/>
      <c r="B5767" s="371">
        <v>105</v>
      </c>
      <c r="C5767" s="371" t="s">
        <v>2791</v>
      </c>
      <c r="D5767" s="2716">
        <f t="shared" si="618"/>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7">
      <c r="A5768" s="2714"/>
      <c r="B5768" s="371">
        <v>106</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7">
      <c r="A5769" s="2714"/>
      <c r="B5769" s="371">
        <v>107</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7">
      <c r="A5770" s="2714"/>
      <c r="B5770" s="371">
        <v>108</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7.5" thickBot="1">
      <c r="A5771" s="2714"/>
      <c r="B5771" s="371"/>
      <c r="C5771" s="371"/>
      <c r="D5771" s="2716">
        <f t="shared" si="618"/>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7">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
      <c r="A5773" s="2715">
        <v>9367</v>
      </c>
      <c r="B5773" s="371" t="s">
        <v>6573</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6">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7">
      <c r="A5776" s="2714"/>
      <c r="B5776" s="371"/>
      <c r="C5776" s="371"/>
      <c r="D5776" s="2716"/>
      <c r="E5776" s="2716" t="s">
        <v>2749</v>
      </c>
      <c r="F5776" s="371"/>
      <c r="G5776" s="2563" t="s">
        <v>47</v>
      </c>
      <c r="H5776" s="2558" t="str">
        <f>$V$4</f>
        <v>2019年度</v>
      </c>
      <c r="I5776" s="2562" t="str">
        <f>$V$5</f>
        <v>2018年度</v>
      </c>
      <c r="J5776" s="355" t="s">
        <v>5353</v>
      </c>
      <c r="K5776" s="391"/>
      <c r="L5776" s="349"/>
      <c r="M5776" s="301"/>
      <c r="N5776" s="391"/>
      <c r="O5776" s="349"/>
      <c r="P5776" s="301"/>
      <c r="S5776" s="364"/>
      <c r="Z5776" s="609" t="s">
        <v>2155</v>
      </c>
      <c r="AA5776" s="609" t="s">
        <v>19</v>
      </c>
    </row>
    <row r="5777" spans="1:27" ht="17">
      <c r="A5777" s="2714"/>
      <c r="B5777" s="371">
        <v>103</v>
      </c>
      <c r="C5777" s="371"/>
      <c r="D5777" s="2716">
        <f t="shared" ref="D5777:D5793" si="619">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7">
      <c r="A5778" s="2714"/>
      <c r="B5778" s="371">
        <v>104</v>
      </c>
      <c r="C5778" s="371"/>
      <c r="D5778" s="2716">
        <f t="shared" si="619"/>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7">
      <c r="A5779" s="2714"/>
      <c r="B5779" s="371">
        <v>105</v>
      </c>
      <c r="C5779" s="371"/>
      <c r="D5779" s="2716">
        <f t="shared" si="619"/>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26">
      <c r="A5780" s="2714"/>
      <c r="B5780" s="371">
        <v>106</v>
      </c>
      <c r="C5780" s="371"/>
      <c r="D5780" s="2716">
        <f t="shared" si="619"/>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7">
      <c r="A5781" s="2714"/>
      <c r="B5781" s="371">
        <v>107</v>
      </c>
      <c r="C5781" s="371"/>
      <c r="D5781" s="2716">
        <f t="shared" si="619"/>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7">
      <c r="A5782" s="2714"/>
      <c r="B5782" s="371">
        <v>108</v>
      </c>
      <c r="C5782" s="371"/>
      <c r="D5782" s="2716">
        <f t="shared" si="619"/>
        <v>1</v>
      </c>
      <c r="E5782" s="2721">
        <v>1</v>
      </c>
      <c r="F5782" s="371"/>
      <c r="G5782" s="308" t="s">
        <v>5251</v>
      </c>
      <c r="H5782" s="309"/>
      <c r="I5782" s="346"/>
      <c r="J5782" s="301"/>
      <c r="K5782" s="391"/>
      <c r="L5782" s="349"/>
      <c r="M5782" s="301"/>
      <c r="N5782" s="391"/>
      <c r="O5782" s="349"/>
      <c r="P5782" s="301"/>
      <c r="S5782" s="364"/>
      <c r="Z5782" s="609" t="s">
        <v>2155</v>
      </c>
      <c r="AA5782" s="609" t="s">
        <v>19</v>
      </c>
    </row>
    <row r="5783" spans="1:27" ht="17">
      <c r="A5783" s="2714"/>
      <c r="B5783" s="371">
        <v>109</v>
      </c>
      <c r="C5783" s="371"/>
      <c r="D5783" s="2716">
        <f t="shared" si="619"/>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7">
      <c r="A5784" s="2714"/>
      <c r="B5784" s="371">
        <v>110</v>
      </c>
      <c r="C5784" s="371"/>
      <c r="D5784" s="2716">
        <f t="shared" si="619"/>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7">
      <c r="A5785" s="2714"/>
      <c r="B5785" s="371">
        <v>111</v>
      </c>
      <c r="C5785" s="371"/>
      <c r="D5785" s="2716">
        <f t="shared" si="619"/>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7">
      <c r="A5786" s="2714"/>
      <c r="B5786" s="371">
        <v>112</v>
      </c>
      <c r="C5786" s="371"/>
      <c r="D5786" s="2716">
        <f t="shared" si="619"/>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6">
      <c r="A5787" s="2714"/>
      <c r="B5787" s="371">
        <v>113</v>
      </c>
      <c r="C5787" s="371"/>
      <c r="D5787" s="2716">
        <f t="shared" si="619"/>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6">
      <c r="A5788" s="2714"/>
      <c r="B5788" s="371">
        <v>114</v>
      </c>
      <c r="C5788" s="371"/>
      <c r="D5788" s="2716">
        <f t="shared" si="619"/>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7">
      <c r="A5789" s="2714"/>
      <c r="B5789" s="371">
        <v>115</v>
      </c>
      <c r="C5789" s="371"/>
      <c r="D5789" s="2716">
        <f t="shared" si="619"/>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7">
      <c r="A5790" s="2714"/>
      <c r="B5790" s="371">
        <v>116</v>
      </c>
      <c r="C5790" s="371"/>
      <c r="D5790" s="2716">
        <f t="shared" si="619"/>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7">
      <c r="A5791" s="2714"/>
      <c r="B5791" s="371">
        <v>117</v>
      </c>
      <c r="C5791" s="371"/>
      <c r="D5791" s="2716">
        <f t="shared" si="619"/>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7">
      <c r="A5792" s="2714"/>
      <c r="B5792" s="371">
        <v>118</v>
      </c>
      <c r="C5792" s="371" t="s">
        <v>2791</v>
      </c>
      <c r="D5792" s="2716">
        <f t="shared" si="619"/>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7.5" thickBot="1">
      <c r="A5793" s="2714"/>
      <c r="B5793" s="371"/>
      <c r="C5793" s="371"/>
      <c r="D5793" s="2716">
        <f t="shared" si="619"/>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7">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6" hidden="1">
      <c r="A5795" s="2714" t="s">
        <v>6104</v>
      </c>
      <c r="B5795" s="371">
        <v>1</v>
      </c>
      <c r="C5795" s="371"/>
      <c r="D5795" s="2716" t="str">
        <f>VLOOKUP($A5795,Sheet_NoteList,2,0)</f>
        <v>其他重要事项——终止经营</v>
      </c>
      <c r="E5795" s="2716" t="s">
        <v>6615</v>
      </c>
      <c r="F5795" s="293"/>
      <c r="G5795" s="372" t="str">
        <f>"("&amp;B5795&amp;")"&amp;D5795</f>
        <v>(1)其他重要事项——终止经营</v>
      </c>
      <c r="H5795" s="1517" t="str">
        <f>$A5795</f>
        <v>9367b</v>
      </c>
      <c r="I5795" s="343" t="s">
        <v>6618</v>
      </c>
      <c r="J5795" s="301" t="s">
        <v>6616</v>
      </c>
      <c r="K5795" s="2210">
        <f>H5801</f>
        <v>0</v>
      </c>
      <c r="L5795" s="349"/>
      <c r="M5795" s="301" t="s">
        <v>6620</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6105</v>
      </c>
      <c r="H5796" s="1617" t="s">
        <v>6284</v>
      </c>
      <c r="I5796" s="371" t="s">
        <v>6285</v>
      </c>
      <c r="J5796" s="371" t="s">
        <v>6286</v>
      </c>
      <c r="K5796" s="371" t="s">
        <v>6107</v>
      </c>
      <c r="L5796" s="371" t="s">
        <v>6108</v>
      </c>
      <c r="M5796" s="371" t="s">
        <v>6109</v>
      </c>
      <c r="N5796" s="391"/>
      <c r="O5796" s="349"/>
      <c r="P5796" s="301"/>
      <c r="S5796" s="364"/>
      <c r="Z5796" s="609" t="s">
        <v>2155</v>
      </c>
      <c r="AA5796" s="609" t="s">
        <v>19</v>
      </c>
      <c r="AE5796" s="369" t="s">
        <v>2761</v>
      </c>
    </row>
    <row r="5797" spans="1:31" ht="39" hidden="1">
      <c r="A5797" s="2714"/>
      <c r="B5797" s="371"/>
      <c r="C5797" s="371"/>
      <c r="D5797" s="2716"/>
      <c r="E5797" s="586" t="s">
        <v>2749</v>
      </c>
      <c r="F5797" s="414"/>
      <c r="G5797" s="2466" t="s">
        <v>47</v>
      </c>
      <c r="H5797" s="2455" t="s">
        <v>4218</v>
      </c>
      <c r="I5797" s="2455" t="s">
        <v>6106</v>
      </c>
      <c r="J5797" s="2455" t="s">
        <v>861</v>
      </c>
      <c r="K5797" s="2455" t="s">
        <v>717</v>
      </c>
      <c r="L5797" s="2455" t="s">
        <v>871</v>
      </c>
      <c r="M5797" s="2456" t="s">
        <v>6110</v>
      </c>
      <c r="N5797" s="2452" t="s">
        <v>5991</v>
      </c>
      <c r="O5797" s="349"/>
      <c r="P5797" s="301"/>
      <c r="S5797" s="364"/>
      <c r="Z5797" s="609" t="s">
        <v>2155</v>
      </c>
      <c r="AA5797" s="609" t="s">
        <v>19</v>
      </c>
      <c r="AE5797" s="369" t="s">
        <v>2761</v>
      </c>
    </row>
    <row r="5798" spans="1:31" ht="17" hidden="1">
      <c r="A5798" s="2714"/>
      <c r="B5798" s="371">
        <v>101</v>
      </c>
      <c r="C5798" s="371" t="s">
        <v>2791</v>
      </c>
      <c r="D5798" s="2716">
        <f t="shared" ref="D5798:D5801" si="620">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7" hidden="1">
      <c r="A5799" s="2714"/>
      <c r="B5799" s="371">
        <v>102</v>
      </c>
      <c r="C5799" s="371" t="s">
        <v>2791</v>
      </c>
      <c r="D5799" s="2716">
        <f t="shared" si="620"/>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7" hidden="1">
      <c r="A5800" s="2714"/>
      <c r="B5800" s="371">
        <v>103</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7.5" hidden="1" thickBot="1">
      <c r="A5801" s="2714"/>
      <c r="B5801" s="371"/>
      <c r="C5801" s="371"/>
      <c r="D5801" s="2716">
        <f t="shared" si="620"/>
        <v>1</v>
      </c>
      <c r="E5801" s="2721" t="s">
        <v>2751</v>
      </c>
      <c r="F5801" s="293"/>
      <c r="G5801" s="310" t="s">
        <v>2752</v>
      </c>
      <c r="H5801" s="1481">
        <f t="shared" ref="H5801:M5801" si="621">SUMPRODUCT($E5797:$E5800,H5797:H5800)</f>
        <v>0</v>
      </c>
      <c r="I5801" s="1481">
        <f t="shared" si="621"/>
        <v>0</v>
      </c>
      <c r="J5801" s="1481">
        <f t="shared" si="621"/>
        <v>0</v>
      </c>
      <c r="K5801" s="1481">
        <f t="shared" si="621"/>
        <v>0</v>
      </c>
      <c r="L5801" s="1481">
        <f t="shared" si="621"/>
        <v>0</v>
      </c>
      <c r="M5801" s="1482">
        <f t="shared" si="621"/>
        <v>0</v>
      </c>
      <c r="N5801" s="391"/>
      <c r="O5801" s="349"/>
      <c r="P5801" s="301"/>
      <c r="S5801" s="364"/>
      <c r="Z5801" s="609" t="s">
        <v>2155</v>
      </c>
      <c r="AA5801" s="609" t="s">
        <v>19</v>
      </c>
      <c r="AE5801" s="369" t="s">
        <v>2761</v>
      </c>
    </row>
    <row r="5802" spans="1:31" ht="17"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6">
      <c r="A5803" s="2714">
        <v>9601</v>
      </c>
      <c r="B5803" s="371" t="s">
        <v>6574</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7">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87">
        <f>H5834</f>
        <v>0</v>
      </c>
      <c r="L5804" s="315"/>
      <c r="M5804" s="301"/>
      <c r="N5804" s="3087">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6322</v>
      </c>
      <c r="M5805" s="291"/>
      <c r="N5805" s="291"/>
      <c r="O5805" s="291"/>
      <c r="P5805" s="291"/>
      <c r="S5805" s="364"/>
      <c r="Z5805" s="609" t="s">
        <v>2182</v>
      </c>
      <c r="AA5805" s="609"/>
    </row>
    <row r="5806" spans="1:31" ht="17">
      <c r="A5806" s="2714"/>
      <c r="B5806" s="371"/>
      <c r="C5806" s="371"/>
      <c r="D5806" s="371"/>
      <c r="E5806" s="2716" t="s">
        <v>2749</v>
      </c>
      <c r="F5806" s="294"/>
      <c r="G5806" s="2498" t="s">
        <v>47</v>
      </c>
      <c r="H5806" s="2499" t="str">
        <f>$V$4</f>
        <v>2019年度</v>
      </c>
      <c r="I5806" s="2499" t="str">
        <f>$V$5</f>
        <v>2018年度</v>
      </c>
      <c r="J5806" s="2500" t="s">
        <v>2758</v>
      </c>
      <c r="K5806" s="355" t="s">
        <v>5354</v>
      </c>
      <c r="M5806" s="291"/>
      <c r="N5806" s="291"/>
      <c r="O5806" s="291"/>
      <c r="P5806" s="291"/>
      <c r="S5806" s="364"/>
      <c r="Z5806" s="609" t="s">
        <v>2182</v>
      </c>
      <c r="AA5806" s="609"/>
    </row>
    <row r="5807" spans="1:31" ht="17">
      <c r="A5807" s="2714"/>
      <c r="B5807" s="371">
        <v>101</v>
      </c>
      <c r="C5807" s="371"/>
      <c r="D5807" s="2716">
        <f t="shared" ref="D5807:D5834" si="622">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9">
      <c r="A5808" s="2714"/>
      <c r="B5808" s="371">
        <v>102</v>
      </c>
      <c r="C5808" s="371"/>
      <c r="D5808" s="2716">
        <f t="shared" si="622"/>
        <v>1</v>
      </c>
      <c r="E5808" s="2721">
        <v>1</v>
      </c>
      <c r="F5808" s="294"/>
      <c r="G5808" s="308" t="s">
        <v>4678</v>
      </c>
      <c r="H5808" s="309"/>
      <c r="I5808" s="309"/>
      <c r="J5808" s="388"/>
      <c r="K5808" s="626"/>
      <c r="M5808" s="291"/>
      <c r="N5808" s="291"/>
      <c r="O5808" s="291"/>
      <c r="P5808" s="291"/>
      <c r="S5808" s="364"/>
      <c r="Z5808" s="609" t="s">
        <v>2182</v>
      </c>
      <c r="AA5808" s="609"/>
    </row>
    <row r="5809" spans="1:27" ht="65">
      <c r="A5809" s="2714"/>
      <c r="B5809" s="371">
        <v>103</v>
      </c>
      <c r="C5809" s="371"/>
      <c r="D5809" s="2716">
        <f t="shared" si="622"/>
        <v>1</v>
      </c>
      <c r="E5809" s="2721">
        <v>1</v>
      </c>
      <c r="F5809" s="294"/>
      <c r="G5809" s="308" t="s">
        <v>4679</v>
      </c>
      <c r="H5809" s="309"/>
      <c r="I5809" s="309"/>
      <c r="J5809" s="388"/>
      <c r="K5809" s="626"/>
      <c r="M5809" s="291"/>
      <c r="N5809" s="291"/>
      <c r="O5809" s="291"/>
      <c r="P5809" s="291"/>
      <c r="S5809" s="364"/>
      <c r="Z5809" s="609" t="s">
        <v>2182</v>
      </c>
      <c r="AA5809" s="609"/>
    </row>
    <row r="5810" spans="1:27" ht="26">
      <c r="A5810" s="2714"/>
      <c r="B5810" s="371">
        <v>104</v>
      </c>
      <c r="C5810" s="371"/>
      <c r="D5810" s="2716">
        <f t="shared" si="622"/>
        <v>1</v>
      </c>
      <c r="E5810" s="2721">
        <v>1</v>
      </c>
      <c r="F5810" s="294"/>
      <c r="G5810" s="308" t="s">
        <v>4680</v>
      </c>
      <c r="H5810" s="309"/>
      <c r="I5810" s="309"/>
      <c r="J5810" s="388"/>
      <c r="K5810" s="626"/>
      <c r="M5810" s="291"/>
      <c r="N5810" s="291"/>
      <c r="O5810" s="291"/>
      <c r="P5810" s="291"/>
      <c r="S5810" s="364"/>
      <c r="Z5810" s="609" t="s">
        <v>2182</v>
      </c>
      <c r="AA5810" s="609"/>
    </row>
    <row r="5811" spans="1:27" ht="65">
      <c r="A5811" s="2714"/>
      <c r="B5811" s="371">
        <v>105</v>
      </c>
      <c r="C5811" s="371"/>
      <c r="D5811" s="2716">
        <f t="shared" si="622"/>
        <v>1</v>
      </c>
      <c r="E5811" s="2721">
        <v>1</v>
      </c>
      <c r="F5811" s="294"/>
      <c r="G5811" s="308" t="s">
        <v>4681</v>
      </c>
      <c r="H5811" s="309"/>
      <c r="I5811" s="309"/>
      <c r="J5811" s="388"/>
      <c r="K5811" s="626"/>
      <c r="M5811" s="291"/>
      <c r="N5811" s="291"/>
      <c r="O5811" s="291"/>
      <c r="P5811" s="291"/>
      <c r="S5811" s="364"/>
      <c r="Z5811" s="609" t="s">
        <v>2182</v>
      </c>
      <c r="AA5811" s="609"/>
    </row>
    <row r="5812" spans="1:27" ht="17">
      <c r="A5812" s="2714"/>
      <c r="B5812" s="371">
        <v>106</v>
      </c>
      <c r="C5812" s="371"/>
      <c r="D5812" s="2716">
        <f t="shared" si="622"/>
        <v>1</v>
      </c>
      <c r="E5812" s="2721">
        <v>1</v>
      </c>
      <c r="F5812" s="294"/>
      <c r="G5812" s="308" t="s">
        <v>4682</v>
      </c>
      <c r="H5812" s="309"/>
      <c r="I5812" s="309"/>
      <c r="J5812" s="388"/>
      <c r="K5812" s="626"/>
      <c r="M5812" s="291"/>
      <c r="N5812" s="291"/>
      <c r="O5812" s="291"/>
      <c r="P5812" s="291"/>
      <c r="S5812" s="364"/>
      <c r="Z5812" s="609" t="s">
        <v>2182</v>
      </c>
      <c r="AA5812" s="609"/>
    </row>
    <row r="5813" spans="1:27" ht="26">
      <c r="A5813" s="2714"/>
      <c r="B5813" s="371">
        <v>107</v>
      </c>
      <c r="C5813" s="371"/>
      <c r="D5813" s="2716">
        <f t="shared" si="622"/>
        <v>1</v>
      </c>
      <c r="E5813" s="2721">
        <v>1</v>
      </c>
      <c r="F5813" s="294"/>
      <c r="G5813" s="308" t="s">
        <v>4683</v>
      </c>
      <c r="H5813" s="309"/>
      <c r="I5813" s="309"/>
      <c r="J5813" s="388"/>
      <c r="K5813" s="626"/>
      <c r="M5813" s="291"/>
      <c r="N5813" s="291"/>
      <c r="O5813" s="291"/>
      <c r="P5813" s="291"/>
      <c r="S5813" s="364"/>
      <c r="Z5813" s="609" t="s">
        <v>2182</v>
      </c>
      <c r="AA5813" s="609"/>
    </row>
    <row r="5814" spans="1:27" ht="39">
      <c r="A5814" s="2714"/>
      <c r="B5814" s="371">
        <v>108</v>
      </c>
      <c r="C5814" s="371"/>
      <c r="D5814" s="2716">
        <f t="shared" si="622"/>
        <v>1</v>
      </c>
      <c r="E5814" s="2721">
        <v>1</v>
      </c>
      <c r="F5814" s="294"/>
      <c r="G5814" s="308" t="s">
        <v>4684</v>
      </c>
      <c r="H5814" s="309"/>
      <c r="I5814" s="309"/>
      <c r="J5814" s="388"/>
      <c r="K5814" s="626"/>
      <c r="M5814" s="291"/>
      <c r="N5814" s="291"/>
      <c r="O5814" s="291"/>
      <c r="P5814" s="291"/>
      <c r="S5814" s="364"/>
      <c r="Z5814" s="609" t="s">
        <v>2182</v>
      </c>
      <c r="AA5814" s="609"/>
    </row>
    <row r="5815" spans="1:27" ht="17">
      <c r="A5815" s="2714"/>
      <c r="B5815" s="371">
        <v>109</v>
      </c>
      <c r="C5815" s="371"/>
      <c r="D5815" s="2716">
        <f t="shared" si="622"/>
        <v>1</v>
      </c>
      <c r="E5815" s="2721">
        <v>1</v>
      </c>
      <c r="F5815" s="294"/>
      <c r="G5815" s="308" t="s">
        <v>4685</v>
      </c>
      <c r="H5815" s="309"/>
      <c r="I5815" s="309"/>
      <c r="J5815" s="388"/>
      <c r="K5815" s="626"/>
      <c r="M5815" s="291"/>
      <c r="N5815" s="291"/>
      <c r="O5815" s="291"/>
      <c r="P5815" s="291"/>
      <c r="S5815" s="364"/>
      <c r="Z5815" s="609" t="s">
        <v>2182</v>
      </c>
      <c r="AA5815" s="609"/>
    </row>
    <row r="5816" spans="1:27" ht="26">
      <c r="A5816" s="2714"/>
      <c r="B5816" s="371">
        <v>110</v>
      </c>
      <c r="C5816" s="371"/>
      <c r="D5816" s="2716">
        <f t="shared" si="622"/>
        <v>1</v>
      </c>
      <c r="E5816" s="2721">
        <v>1</v>
      </c>
      <c r="F5816" s="294"/>
      <c r="G5816" s="308" t="s">
        <v>4686</v>
      </c>
      <c r="H5816" s="309"/>
      <c r="I5816" s="309"/>
      <c r="J5816" s="388"/>
      <c r="K5816" s="626"/>
      <c r="M5816" s="291"/>
      <c r="N5816" s="291"/>
      <c r="O5816" s="291"/>
      <c r="P5816" s="291"/>
      <c r="S5816" s="364"/>
      <c r="Z5816" s="609" t="s">
        <v>2182</v>
      </c>
      <c r="AA5816" s="609"/>
    </row>
    <row r="5817" spans="1:27" ht="39">
      <c r="A5817" s="2714"/>
      <c r="B5817" s="371">
        <v>111</v>
      </c>
      <c r="C5817" s="371"/>
      <c r="D5817" s="2716">
        <f t="shared" si="622"/>
        <v>1</v>
      </c>
      <c r="E5817" s="2721">
        <v>1</v>
      </c>
      <c r="F5817" s="294"/>
      <c r="G5817" s="308" t="s">
        <v>4687</v>
      </c>
      <c r="H5817" s="309"/>
      <c r="I5817" s="309"/>
      <c r="J5817" s="388"/>
      <c r="K5817" s="626"/>
      <c r="M5817" s="291"/>
      <c r="N5817" s="291"/>
      <c r="O5817" s="291"/>
      <c r="P5817" s="291"/>
      <c r="S5817" s="364"/>
      <c r="Z5817" s="609" t="s">
        <v>2182</v>
      </c>
      <c r="AA5817" s="609"/>
    </row>
    <row r="5818" spans="1:27" ht="39">
      <c r="A5818" s="2714"/>
      <c r="B5818" s="371">
        <v>112</v>
      </c>
      <c r="C5818" s="371"/>
      <c r="D5818" s="2716">
        <f t="shared" si="622"/>
        <v>1</v>
      </c>
      <c r="E5818" s="2721">
        <v>1</v>
      </c>
      <c r="F5818" s="294"/>
      <c r="G5818" s="308" t="s">
        <v>4688</v>
      </c>
      <c r="H5818" s="309"/>
      <c r="I5818" s="309"/>
      <c r="J5818" s="388"/>
      <c r="K5818" s="626"/>
      <c r="M5818" s="291"/>
      <c r="N5818" s="291"/>
      <c r="O5818" s="291"/>
      <c r="P5818" s="291"/>
      <c r="S5818" s="364"/>
      <c r="Z5818" s="609" t="s">
        <v>2182</v>
      </c>
      <c r="AA5818" s="609"/>
    </row>
    <row r="5819" spans="1:27" ht="26">
      <c r="A5819" s="2714"/>
      <c r="B5819" s="371">
        <v>113</v>
      </c>
      <c r="C5819" s="371"/>
      <c r="D5819" s="2716">
        <f t="shared" si="622"/>
        <v>1</v>
      </c>
      <c r="E5819" s="2721">
        <v>1</v>
      </c>
      <c r="F5819" s="294"/>
      <c r="G5819" s="308" t="s">
        <v>4689</v>
      </c>
      <c r="H5819" s="309"/>
      <c r="I5819" s="309"/>
      <c r="J5819" s="388"/>
      <c r="K5819" s="626"/>
      <c r="M5819" s="291"/>
      <c r="N5819" s="291"/>
      <c r="O5819" s="291"/>
      <c r="P5819" s="291"/>
      <c r="S5819" s="364"/>
      <c r="Z5819" s="609" t="s">
        <v>2182</v>
      </c>
      <c r="AA5819" s="609"/>
    </row>
    <row r="5820" spans="1:27" ht="130">
      <c r="A5820" s="2714"/>
      <c r="B5820" s="371">
        <v>114</v>
      </c>
      <c r="C5820" s="371"/>
      <c r="D5820" s="2716">
        <f t="shared" si="622"/>
        <v>1</v>
      </c>
      <c r="E5820" s="2721">
        <v>1</v>
      </c>
      <c r="F5820" s="294"/>
      <c r="G5820" s="1474" t="s">
        <v>6149</v>
      </c>
      <c r="H5820" s="309"/>
      <c r="I5820" s="2277">
        <v>0</v>
      </c>
      <c r="J5820" s="388"/>
      <c r="K5820" s="626"/>
      <c r="M5820" s="291"/>
      <c r="N5820" s="291"/>
      <c r="O5820" s="291"/>
      <c r="P5820" s="291"/>
      <c r="S5820" s="364"/>
      <c r="Z5820" s="609" t="s">
        <v>2182</v>
      </c>
      <c r="AA5820" s="609"/>
    </row>
    <row r="5821" spans="1:27" ht="104">
      <c r="A5821" s="2714"/>
      <c r="B5821" s="371">
        <v>115</v>
      </c>
      <c r="C5821" s="371"/>
      <c r="D5821" s="2716">
        <f t="shared" si="622"/>
        <v>1</v>
      </c>
      <c r="E5821" s="2721">
        <v>1</v>
      </c>
      <c r="F5821" s="294"/>
      <c r="G5821" s="308" t="s">
        <v>4690</v>
      </c>
      <c r="H5821" s="2277">
        <v>0</v>
      </c>
      <c r="I5821" s="309"/>
      <c r="J5821" s="388"/>
      <c r="K5821" s="626"/>
      <c r="M5821" s="291"/>
      <c r="N5821" s="291"/>
      <c r="O5821" s="291"/>
      <c r="P5821" s="291"/>
      <c r="S5821" s="364"/>
      <c r="Z5821" s="609" t="s">
        <v>2182</v>
      </c>
      <c r="AA5821" s="609"/>
    </row>
    <row r="5822" spans="1:27" ht="26">
      <c r="A5822" s="2714"/>
      <c r="B5822" s="371">
        <v>116</v>
      </c>
      <c r="C5822" s="371"/>
      <c r="D5822" s="2716">
        <f t="shared" si="622"/>
        <v>1</v>
      </c>
      <c r="E5822" s="2721">
        <v>1</v>
      </c>
      <c r="F5822" s="294"/>
      <c r="G5822" s="308" t="s">
        <v>4691</v>
      </c>
      <c r="H5822" s="309"/>
      <c r="I5822" s="309"/>
      <c r="J5822" s="388"/>
      <c r="K5822" s="626"/>
      <c r="M5822" s="291"/>
      <c r="N5822" s="291"/>
      <c r="O5822" s="291"/>
      <c r="P5822" s="291"/>
      <c r="S5822" s="364"/>
      <c r="Z5822" s="609" t="s">
        <v>2182</v>
      </c>
      <c r="AA5822" s="609"/>
    </row>
    <row r="5823" spans="1:27" ht="17">
      <c r="A5823" s="2714"/>
      <c r="B5823" s="371">
        <v>117</v>
      </c>
      <c r="C5823" s="371"/>
      <c r="D5823" s="2716">
        <f t="shared" si="622"/>
        <v>1</v>
      </c>
      <c r="E5823" s="2721">
        <v>1</v>
      </c>
      <c r="F5823" s="294"/>
      <c r="G5823" s="308" t="s">
        <v>4692</v>
      </c>
      <c r="H5823" s="309"/>
      <c r="I5823" s="309"/>
      <c r="J5823" s="388"/>
      <c r="K5823" s="626"/>
      <c r="M5823" s="291"/>
      <c r="N5823" s="291"/>
      <c r="O5823" s="291"/>
      <c r="P5823" s="291"/>
      <c r="S5823" s="364"/>
      <c r="Z5823" s="609" t="s">
        <v>2182</v>
      </c>
      <c r="AA5823" s="609"/>
    </row>
    <row r="5824" spans="1:27" ht="39">
      <c r="A5824" s="2714"/>
      <c r="B5824" s="371">
        <v>118</v>
      </c>
      <c r="C5824" s="371"/>
      <c r="D5824" s="2716">
        <f t="shared" si="622"/>
        <v>1</v>
      </c>
      <c r="E5824" s="2721">
        <v>1</v>
      </c>
      <c r="F5824" s="294"/>
      <c r="G5824" s="308" t="s">
        <v>4693</v>
      </c>
      <c r="H5824" s="309"/>
      <c r="I5824" s="309"/>
      <c r="J5824" s="388"/>
      <c r="K5824" s="626"/>
      <c r="M5824" s="291"/>
      <c r="N5824" s="291"/>
      <c r="O5824" s="291"/>
      <c r="P5824" s="291"/>
      <c r="S5824" s="364"/>
      <c r="Z5824" s="609" t="s">
        <v>2182</v>
      </c>
      <c r="AA5824" s="609"/>
    </row>
    <row r="5825" spans="1:27" ht="39">
      <c r="A5825" s="2714"/>
      <c r="B5825" s="371">
        <v>119</v>
      </c>
      <c r="C5825" s="371"/>
      <c r="D5825" s="2716">
        <f t="shared" si="622"/>
        <v>1</v>
      </c>
      <c r="E5825" s="2721">
        <v>1</v>
      </c>
      <c r="F5825" s="294"/>
      <c r="G5825" s="308" t="s">
        <v>4694</v>
      </c>
      <c r="H5825" s="309"/>
      <c r="I5825" s="309"/>
      <c r="J5825" s="388"/>
      <c r="K5825" s="626"/>
      <c r="M5825" s="291"/>
      <c r="N5825" s="291"/>
      <c r="O5825" s="291"/>
      <c r="P5825" s="291"/>
      <c r="S5825" s="364"/>
      <c r="Z5825" s="609" t="s">
        <v>2182</v>
      </c>
      <c r="AA5825" s="609"/>
    </row>
    <row r="5826" spans="1:27" ht="17">
      <c r="A5826" s="2714"/>
      <c r="B5826" s="371">
        <v>120</v>
      </c>
      <c r="C5826" s="371"/>
      <c r="D5826" s="2716">
        <f t="shared" si="622"/>
        <v>1</v>
      </c>
      <c r="E5826" s="2721">
        <v>1</v>
      </c>
      <c r="F5826" s="294"/>
      <c r="G5826" s="308" t="s">
        <v>4695</v>
      </c>
      <c r="H5826" s="309"/>
      <c r="I5826" s="309"/>
      <c r="J5826" s="388"/>
      <c r="K5826" s="626"/>
      <c r="M5826" s="291"/>
      <c r="N5826" s="291"/>
      <c r="O5826" s="291"/>
      <c r="P5826" s="291"/>
      <c r="S5826" s="364"/>
      <c r="Z5826" s="609" t="s">
        <v>2182</v>
      </c>
      <c r="AA5826" s="609"/>
    </row>
    <row r="5827" spans="1:27" ht="26">
      <c r="A5827" s="2714"/>
      <c r="B5827" s="371">
        <v>121</v>
      </c>
      <c r="C5827" s="371"/>
      <c r="D5827" s="2716">
        <f t="shared" si="622"/>
        <v>1</v>
      </c>
      <c r="E5827" s="2721">
        <v>1</v>
      </c>
      <c r="F5827" s="294"/>
      <c r="G5827" s="308" t="s">
        <v>4696</v>
      </c>
      <c r="H5827" s="309"/>
      <c r="I5827" s="309"/>
      <c r="J5827" s="388"/>
      <c r="K5827" s="626"/>
      <c r="M5827" s="291"/>
      <c r="N5827" s="291"/>
      <c r="O5827" s="291"/>
      <c r="P5827" s="291"/>
      <c r="S5827" s="364"/>
      <c r="Z5827" s="609" t="s">
        <v>2182</v>
      </c>
      <c r="AA5827" s="609"/>
    </row>
    <row r="5828" spans="1:27" ht="26">
      <c r="A5828" s="2714"/>
      <c r="B5828" s="371">
        <v>122</v>
      </c>
      <c r="C5828" s="371"/>
      <c r="D5828" s="2716">
        <f t="shared" si="622"/>
        <v>1</v>
      </c>
      <c r="E5828" s="2721">
        <v>1</v>
      </c>
      <c r="F5828" s="294"/>
      <c r="G5828" s="308" t="s">
        <v>2185</v>
      </c>
      <c r="H5828" s="309"/>
      <c r="I5828" s="309"/>
      <c r="J5828" s="388"/>
      <c r="K5828" s="626"/>
      <c r="M5828" s="291"/>
      <c r="N5828" s="291"/>
      <c r="O5828" s="291"/>
      <c r="P5828" s="291"/>
      <c r="S5828" s="364"/>
      <c r="Z5828" s="609" t="s">
        <v>2182</v>
      </c>
      <c r="AA5828" s="609"/>
    </row>
    <row r="5829" spans="1:27" ht="17">
      <c r="A5829" s="2714"/>
      <c r="B5829" s="371">
        <v>123</v>
      </c>
      <c r="C5829" s="371" t="s">
        <v>2791</v>
      </c>
      <c r="D5829" s="2716">
        <f t="shared" si="622"/>
        <v>0</v>
      </c>
      <c r="E5829" s="2721">
        <v>1</v>
      </c>
      <c r="F5829" s="294"/>
      <c r="G5829" s="319" t="s">
        <v>2792</v>
      </c>
      <c r="H5829" s="309"/>
      <c r="I5829" s="309"/>
      <c r="J5829" s="388"/>
      <c r="K5829" s="626"/>
      <c r="M5829" s="291"/>
      <c r="N5829" s="291"/>
      <c r="O5829" s="291"/>
      <c r="P5829" s="291"/>
      <c r="S5829" s="364"/>
      <c r="Z5829" s="609" t="s">
        <v>2182</v>
      </c>
      <c r="AA5829" s="609"/>
    </row>
    <row r="5830" spans="1:27" ht="17">
      <c r="A5830" s="2714"/>
      <c r="B5830" s="371">
        <v>124</v>
      </c>
      <c r="C5830" s="371"/>
      <c r="D5830" s="2716">
        <f t="shared" si="622"/>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6">
      <c r="A5831" s="2714"/>
      <c r="B5831" s="371">
        <v>126</v>
      </c>
      <c r="C5831" s="371"/>
      <c r="D5831" s="2716">
        <f t="shared" si="622"/>
        <v>1</v>
      </c>
      <c r="E5831" s="2721">
        <v>-1</v>
      </c>
      <c r="F5831" s="294"/>
      <c r="G5831" s="308" t="s">
        <v>4698</v>
      </c>
      <c r="H5831" s="309"/>
      <c r="I5831" s="309"/>
      <c r="J5831" s="388"/>
      <c r="K5831" s="626"/>
      <c r="M5831" s="291"/>
      <c r="N5831" s="291"/>
      <c r="O5831" s="291"/>
      <c r="P5831" s="291"/>
      <c r="S5831" s="364"/>
      <c r="Z5831" s="609" t="s">
        <v>2182</v>
      </c>
      <c r="AA5831" s="609"/>
    </row>
    <row r="5832" spans="1:27" ht="17">
      <c r="A5832" s="2714"/>
      <c r="B5832" s="371">
        <v>127</v>
      </c>
      <c r="C5832" s="371"/>
      <c r="D5832" s="2716">
        <f t="shared" si="622"/>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6">
      <c r="A5833" s="2714"/>
      <c r="B5833" s="371">
        <v>128</v>
      </c>
      <c r="C5833" s="371"/>
      <c r="D5833" s="2716">
        <f t="shared" si="622"/>
        <v>1</v>
      </c>
      <c r="E5833" s="2721">
        <v>-1</v>
      </c>
      <c r="F5833" s="294"/>
      <c r="G5833" s="308" t="s">
        <v>4700</v>
      </c>
      <c r="H5833" s="309"/>
      <c r="I5833" s="309"/>
      <c r="J5833" s="388"/>
      <c r="K5833" s="626"/>
      <c r="M5833" s="291"/>
      <c r="N5833" s="291"/>
      <c r="O5833" s="291"/>
      <c r="P5833" s="291"/>
      <c r="S5833" s="364"/>
      <c r="Z5833" s="609" t="s">
        <v>2182</v>
      </c>
      <c r="AA5833" s="609"/>
    </row>
    <row r="5834" spans="1:27" ht="26.5" thickBot="1">
      <c r="A5834" s="2714"/>
      <c r="B5834" s="371"/>
      <c r="C5834" s="371"/>
      <c r="D5834" s="2716">
        <f t="shared" si="622"/>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7">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5">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84"/>
      <c r="L5836" s="315"/>
      <c r="M5836" s="301"/>
      <c r="N5836" s="3084"/>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7">
      <c r="A5838" s="2714"/>
      <c r="B5838" s="371"/>
      <c r="C5838" s="371"/>
      <c r="D5838" s="371"/>
      <c r="E5838" s="2716" t="s">
        <v>2749</v>
      </c>
      <c r="F5838" s="294"/>
      <c r="G5838" s="2498" t="s">
        <v>47</v>
      </c>
      <c r="H5838" s="2499" t="s">
        <v>4705</v>
      </c>
      <c r="I5838" s="2500" t="s">
        <v>4660</v>
      </c>
      <c r="J5838" s="355" t="s">
        <v>5354</v>
      </c>
      <c r="M5838" s="291"/>
      <c r="N5838" s="291"/>
      <c r="O5838" s="291"/>
      <c r="P5838" s="291"/>
      <c r="S5838" s="364"/>
      <c r="Z5838" s="609" t="s">
        <v>2182</v>
      </c>
      <c r="AA5838" s="609"/>
    </row>
    <row r="5839" spans="1:27" ht="17">
      <c r="A5839" s="2714"/>
      <c r="B5839" s="371">
        <v>101</v>
      </c>
      <c r="C5839" s="371" t="s">
        <v>2791</v>
      </c>
      <c r="D5839" s="2716">
        <f t="shared" ref="D5839:D5844" si="623">IF(OR(G5839="*",G5839="",G5839=0),0,COUNTIF($G$5839:$G$5844,G5839))</f>
        <v>0</v>
      </c>
      <c r="E5839" s="2721">
        <v>1</v>
      </c>
      <c r="F5839" s="294"/>
      <c r="G5839" s="319" t="s">
        <v>2792</v>
      </c>
      <c r="H5839" s="309"/>
      <c r="I5839" s="388"/>
      <c r="M5839" s="291"/>
      <c r="N5839" s="291"/>
      <c r="O5839" s="291"/>
      <c r="P5839" s="291"/>
      <c r="S5839" s="364"/>
      <c r="Z5839" s="609" t="s">
        <v>2182</v>
      </c>
      <c r="AA5839" s="609"/>
    </row>
    <row r="5840" spans="1:27" ht="17">
      <c r="A5840" s="2714"/>
      <c r="B5840" s="371">
        <v>102</v>
      </c>
      <c r="C5840" s="371" t="s">
        <v>2791</v>
      </c>
      <c r="D5840" s="2716">
        <f t="shared" si="623"/>
        <v>0</v>
      </c>
      <c r="E5840" s="2721">
        <v>1</v>
      </c>
      <c r="F5840" s="294"/>
      <c r="G5840" s="319" t="s">
        <v>2792</v>
      </c>
      <c r="H5840" s="309"/>
      <c r="I5840" s="388"/>
      <c r="M5840" s="291"/>
      <c r="N5840" s="291"/>
      <c r="O5840" s="291"/>
      <c r="P5840" s="291"/>
      <c r="S5840" s="364"/>
      <c r="Z5840" s="609" t="s">
        <v>2182</v>
      </c>
      <c r="AA5840" s="609"/>
    </row>
    <row r="5841" spans="1:27" ht="17">
      <c r="A5841" s="2714"/>
      <c r="B5841" s="371">
        <v>103</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7">
      <c r="A5842" s="2714"/>
      <c r="B5842" s="371">
        <v>104</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7">
      <c r="A5843" s="2714"/>
      <c r="B5843" s="371">
        <v>105</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7.5" thickBot="1">
      <c r="A5844" s="2714"/>
      <c r="B5844" s="371"/>
      <c r="C5844" s="371"/>
      <c r="D5844" s="2716">
        <f t="shared" si="623"/>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7">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6">
      <c r="A5846" s="2714" t="s">
        <v>2184</v>
      </c>
      <c r="B5846" s="371">
        <v>3</v>
      </c>
      <c r="C5846" s="371"/>
      <c r="D5846" s="2716" t="str">
        <f>VLOOKUP($A5846,Sheet_NoteList,2,0)</f>
        <v>其他符合非经常性损益定义的损益项目</v>
      </c>
      <c r="E5846" s="2716" t="s">
        <v>6533</v>
      </c>
      <c r="F5846" s="294"/>
      <c r="G5846" s="372" t="str">
        <f>"("&amp;B5846&amp;")"&amp;D5846</f>
        <v>(3)其他符合非经常性损益定义的损益项目</v>
      </c>
      <c r="H5846" s="1517" t="str">
        <f>$A5846</f>
        <v>9601b</v>
      </c>
      <c r="I5846" s="343" t="s">
        <v>5981</v>
      </c>
      <c r="J5846" s="301"/>
      <c r="K5846" s="3084"/>
      <c r="L5846" s="315"/>
      <c r="M5846" s="301"/>
      <c r="N5846" s="3084"/>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7">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7">
      <c r="A5849" s="2714"/>
      <c r="B5849" s="371">
        <v>101</v>
      </c>
      <c r="C5849" s="371" t="s">
        <v>2791</v>
      </c>
      <c r="D5849" s="2716">
        <f t="shared" ref="D5849:D5854" si="624">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7">
      <c r="A5850" s="2714"/>
      <c r="B5850" s="371">
        <v>102</v>
      </c>
      <c r="C5850" s="371" t="s">
        <v>2791</v>
      </c>
      <c r="D5850" s="2716">
        <f t="shared" si="624"/>
        <v>0</v>
      </c>
      <c r="E5850" s="2721">
        <v>1</v>
      </c>
      <c r="F5850" s="294"/>
      <c r="G5850" s="2467" t="s">
        <v>2792</v>
      </c>
      <c r="H5850" s="2275"/>
      <c r="I5850" s="2276"/>
      <c r="M5850" s="291"/>
      <c r="N5850" s="291"/>
      <c r="O5850" s="291"/>
      <c r="P5850" s="291"/>
      <c r="S5850" s="364"/>
      <c r="Z5850" s="609" t="s">
        <v>2182</v>
      </c>
      <c r="AA5850" s="609"/>
    </row>
    <row r="5851" spans="1:27" ht="17">
      <c r="A5851" s="2714"/>
      <c r="B5851" s="371">
        <v>103</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7">
      <c r="A5852" s="2714"/>
      <c r="B5852" s="371">
        <v>104</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7">
      <c r="A5853" s="2714"/>
      <c r="B5853" s="371">
        <v>105</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7.5" thickBot="1">
      <c r="A5854" s="2714"/>
      <c r="B5854" s="371"/>
      <c r="C5854" s="371"/>
      <c r="D5854" s="2716">
        <f t="shared" si="624"/>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7">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6">
      <c r="A5856" s="2714" t="s">
        <v>2190</v>
      </c>
      <c r="B5856" s="371">
        <v>4</v>
      </c>
      <c r="C5856" s="371"/>
      <c r="D5856" s="2716" t="str">
        <f>VLOOKUP($A5856,Sheet_NoteList,2,0)</f>
        <v>报告年度不再作为非经常性损益列报的项目</v>
      </c>
      <c r="E5856" s="2716" t="s">
        <v>6533</v>
      </c>
      <c r="F5856" s="294"/>
      <c r="G5856" s="372" t="str">
        <f>"("&amp;B5856&amp;")"&amp;D5856</f>
        <v>(4)报告年度不再作为非经常性损益列报的项目</v>
      </c>
      <c r="H5856" s="1517" t="str">
        <f>$A5856</f>
        <v>9601d</v>
      </c>
      <c r="I5856" s="343" t="s">
        <v>5978</v>
      </c>
      <c r="J5856" s="301"/>
      <c r="K5856" s="3084"/>
      <c r="L5856" s="315"/>
      <c r="M5856" s="301"/>
      <c r="N5856" s="3084"/>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7">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7">
      <c r="A5859" s="2714"/>
      <c r="B5859" s="371">
        <v>101</v>
      </c>
      <c r="C5859" s="371" t="s">
        <v>2791</v>
      </c>
      <c r="D5859" s="2716">
        <f t="shared" ref="D5859:D5864" si="625">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7">
      <c r="A5860" s="2714"/>
      <c r="B5860" s="371">
        <v>102</v>
      </c>
      <c r="C5860" s="371" t="s">
        <v>2791</v>
      </c>
      <c r="D5860" s="2716">
        <f t="shared" si="625"/>
        <v>0</v>
      </c>
      <c r="E5860" s="2721">
        <v>1</v>
      </c>
      <c r="F5860" s="294"/>
      <c r="G5860" s="2467" t="s">
        <v>2792</v>
      </c>
      <c r="H5860" s="2275"/>
      <c r="I5860" s="2276"/>
      <c r="M5860" s="291"/>
      <c r="N5860" s="291"/>
      <c r="O5860" s="291"/>
      <c r="P5860" s="291"/>
      <c r="S5860" s="364"/>
      <c r="Z5860" s="609" t="s">
        <v>2182</v>
      </c>
      <c r="AA5860" s="609"/>
    </row>
    <row r="5861" spans="1:27" ht="17">
      <c r="A5861" s="2714"/>
      <c r="B5861" s="371">
        <v>103</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7">
      <c r="A5862" s="2714"/>
      <c r="B5862" s="371">
        <v>104</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7">
      <c r="A5863" s="2714"/>
      <c r="B5863" s="371">
        <v>105</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7.5" thickBot="1">
      <c r="A5864" s="2714"/>
      <c r="B5864" s="371"/>
      <c r="C5864" s="371"/>
      <c r="D5864" s="2716">
        <f t="shared" si="625"/>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7">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0</v>
      </c>
      <c r="L5867" s="342"/>
      <c r="M5867" s="306"/>
      <c r="N5867" s="341"/>
      <c r="O5867" s="306"/>
      <c r="P5867" s="301"/>
      <c r="S5867" s="364"/>
      <c r="Z5867" s="609" t="s">
        <v>4711</v>
      </c>
      <c r="AA5867" s="609"/>
    </row>
    <row r="5868" spans="1:27" ht="26">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t="str">
        <f>IF(ROUND(K5867-K5868,2)=0,"F/S",ROUND(K5867-K5868,2))</f>
        <v>F/S</v>
      </c>
      <c r="M5868" s="532" t="s">
        <v>4713</v>
      </c>
      <c r="N5868" s="3084"/>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7">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7">
      <c r="A5871" s="2714"/>
      <c r="B5871" s="371">
        <v>101</v>
      </c>
      <c r="C5871" s="371" t="s">
        <v>2791</v>
      </c>
      <c r="D5871" s="2716">
        <f t="shared" ref="D5871:D5876" si="626">IF(OR(G5871="*",G5871="",G5871=0),0,COUNTIF($G$5871:$G$5876,G5871))</f>
        <v>0</v>
      </c>
      <c r="E5871" s="2721">
        <v>1</v>
      </c>
      <c r="F5871" s="294"/>
      <c r="G5871" s="1563" t="s">
        <v>2792</v>
      </c>
      <c r="H5871" s="360"/>
      <c r="I5871" s="309"/>
      <c r="J5871" s="388"/>
      <c r="K5871" s="291"/>
      <c r="L5871" s="291"/>
      <c r="M5871" s="291"/>
      <c r="S5871" s="364"/>
      <c r="Z5871" s="609" t="s">
        <v>4711</v>
      </c>
      <c r="AA5871" s="609"/>
    </row>
    <row r="5872" spans="1:27" ht="17">
      <c r="A5872" s="2714"/>
      <c r="B5872" s="371">
        <v>102</v>
      </c>
      <c r="C5872" s="371" t="s">
        <v>2791</v>
      </c>
      <c r="D5872" s="2716">
        <f t="shared" si="626"/>
        <v>0</v>
      </c>
      <c r="E5872" s="2721">
        <v>1</v>
      </c>
      <c r="F5872" s="294"/>
      <c r="G5872" s="1563" t="s">
        <v>2792</v>
      </c>
      <c r="H5872" s="360"/>
      <c r="I5872" s="309"/>
      <c r="J5872" s="388"/>
      <c r="K5872" s="291"/>
      <c r="L5872" s="291"/>
      <c r="M5872" s="291"/>
      <c r="S5872" s="364"/>
      <c r="Z5872" s="609" t="s">
        <v>4711</v>
      </c>
      <c r="AA5872" s="609"/>
    </row>
    <row r="5873" spans="1:27" ht="17">
      <c r="A5873" s="2714"/>
      <c r="B5873" s="371">
        <v>103</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7">
      <c r="A5874" s="2714"/>
      <c r="B5874" s="371">
        <v>104</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7">
      <c r="A5875" s="2714"/>
      <c r="B5875" s="371">
        <v>105</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7.5" thickBot="1">
      <c r="A5876" s="2714"/>
      <c r="B5876" s="371"/>
      <c r="C5876" s="371"/>
      <c r="D5876" s="2716">
        <f t="shared" si="626"/>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7">
      <c r="A5877" s="2714"/>
      <c r="B5877" s="371"/>
      <c r="C5877" s="371" t="s">
        <v>2755</v>
      </c>
      <c r="D5877" s="371"/>
      <c r="F5877" s="294"/>
      <c r="G5877" s="301"/>
      <c r="H5877" s="393"/>
      <c r="I5877" s="315"/>
      <c r="J5877" s="393"/>
      <c r="K5877" s="291"/>
      <c r="L5877" s="291"/>
      <c r="M5877" s="291"/>
      <c r="S5877" s="364"/>
      <c r="Z5877" s="609" t="s">
        <v>4711</v>
      </c>
      <c r="AA5877" s="609"/>
    </row>
    <row r="5878" spans="1:27" ht="17">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50.09</v>
      </c>
      <c r="L5878" s="342"/>
      <c r="M5878" s="306"/>
      <c r="N5878" s="341"/>
      <c r="O5878" s="306"/>
      <c r="P5878" s="301"/>
      <c r="S5878" s="364"/>
      <c r="Z5878" s="609" t="s">
        <v>4384</v>
      </c>
      <c r="AA5878" s="609"/>
    </row>
    <row r="5879" spans="1:27" ht="26">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50.09</v>
      </c>
      <c r="M5879" s="532" t="s">
        <v>4713</v>
      </c>
      <c r="N5879" s="3084"/>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7">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7">
      <c r="A5882" s="2714"/>
      <c r="B5882" s="371">
        <v>101</v>
      </c>
      <c r="C5882" s="371" t="s">
        <v>2791</v>
      </c>
      <c r="D5882" s="2716">
        <f t="shared" ref="D5882:D5887" si="627">IF(OR(G5882="*",G5882="",G5882=0),0,COUNTIF($G$5882:$G$5887,G5882))</f>
        <v>0</v>
      </c>
      <c r="E5882" s="2721">
        <v>1</v>
      </c>
      <c r="F5882" s="294"/>
      <c r="G5882" s="1563" t="s">
        <v>2792</v>
      </c>
      <c r="H5882" s="360"/>
      <c r="I5882" s="309"/>
      <c r="J5882" s="388"/>
      <c r="K5882" s="291"/>
      <c r="L5882" s="291"/>
      <c r="M5882" s="291"/>
      <c r="S5882" s="364"/>
      <c r="Z5882" s="609" t="s">
        <v>4384</v>
      </c>
      <c r="AA5882" s="609"/>
    </row>
    <row r="5883" spans="1:27" ht="17">
      <c r="A5883" s="2714"/>
      <c r="B5883" s="371">
        <v>102</v>
      </c>
      <c r="C5883" s="371" t="s">
        <v>2791</v>
      </c>
      <c r="D5883" s="2716">
        <f t="shared" si="627"/>
        <v>0</v>
      </c>
      <c r="E5883" s="2721">
        <v>1</v>
      </c>
      <c r="F5883" s="294"/>
      <c r="G5883" s="1563" t="s">
        <v>2792</v>
      </c>
      <c r="H5883" s="360"/>
      <c r="I5883" s="309"/>
      <c r="J5883" s="388"/>
      <c r="K5883" s="291"/>
      <c r="L5883" s="291"/>
      <c r="M5883" s="291"/>
      <c r="S5883" s="364"/>
      <c r="Z5883" s="609" t="s">
        <v>4384</v>
      </c>
      <c r="AA5883" s="609"/>
    </row>
    <row r="5884" spans="1:27" ht="17">
      <c r="A5884" s="2714"/>
      <c r="B5884" s="371">
        <v>103</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7">
      <c r="A5885" s="2714"/>
      <c r="B5885" s="371">
        <v>104</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7">
      <c r="A5886" s="2714"/>
      <c r="B5886" s="371">
        <v>105</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7.5" thickBot="1">
      <c r="A5887" s="2714"/>
      <c r="B5887" s="371"/>
      <c r="C5887" s="371"/>
      <c r="D5887" s="2716">
        <f t="shared" si="627"/>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7">
      <c r="A5888" s="2714"/>
      <c r="B5888" s="371"/>
      <c r="C5888" s="371" t="s">
        <v>2755</v>
      </c>
      <c r="D5888" s="371"/>
      <c r="F5888" s="294"/>
      <c r="G5888" s="301"/>
      <c r="H5888" s="393"/>
      <c r="I5888" s="315"/>
      <c r="J5888" s="393"/>
      <c r="K5888" s="291"/>
      <c r="L5888" s="291"/>
      <c r="M5888" s="291"/>
      <c r="S5888" s="364"/>
      <c r="Z5888" s="609" t="s">
        <v>4384</v>
      </c>
      <c r="AA5888" s="609"/>
    </row>
    <row r="5889" spans="1:27" ht="17">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6">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t="str">
        <f>IF(ROUND(K5889-K5890,2)=0,"F/S",ROUND(K5889-K5890,2))</f>
        <v>F/S</v>
      </c>
      <c r="M5890" s="532" t="s">
        <v>4713</v>
      </c>
      <c r="N5890" s="3084"/>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7">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7">
      <c r="A5893" s="2714"/>
      <c r="B5893" s="371">
        <v>101</v>
      </c>
      <c r="C5893" s="371" t="s">
        <v>2791</v>
      </c>
      <c r="D5893" s="2716">
        <f t="shared" ref="D5893:D5898" si="628">IF(OR(G5893="*",G5893="",G5893=0),0,COUNTIF($G$5893:$G$5898,G5893))</f>
        <v>0</v>
      </c>
      <c r="E5893" s="2721">
        <v>1</v>
      </c>
      <c r="F5893" s="294"/>
      <c r="G5893" s="1563" t="s">
        <v>2792</v>
      </c>
      <c r="H5893" s="360"/>
      <c r="I5893" s="309"/>
      <c r="J5893" s="388"/>
      <c r="K5893" s="291"/>
      <c r="L5893" s="291"/>
      <c r="M5893" s="291"/>
      <c r="S5893" s="364"/>
      <c r="Z5893" s="609" t="s">
        <v>4719</v>
      </c>
      <c r="AA5893" s="609"/>
    </row>
    <row r="5894" spans="1:27" ht="17">
      <c r="A5894" s="2714"/>
      <c r="B5894" s="371">
        <v>102</v>
      </c>
      <c r="C5894" s="371" t="s">
        <v>2791</v>
      </c>
      <c r="D5894" s="2716">
        <f t="shared" si="628"/>
        <v>0</v>
      </c>
      <c r="E5894" s="2721">
        <v>1</v>
      </c>
      <c r="F5894" s="294"/>
      <c r="G5894" s="1563" t="s">
        <v>2792</v>
      </c>
      <c r="H5894" s="360"/>
      <c r="I5894" s="309"/>
      <c r="J5894" s="388"/>
      <c r="K5894" s="291"/>
      <c r="L5894" s="291"/>
      <c r="M5894" s="291"/>
      <c r="S5894" s="364"/>
      <c r="Z5894" s="609" t="s">
        <v>4719</v>
      </c>
      <c r="AA5894" s="609"/>
    </row>
    <row r="5895" spans="1:27" ht="17">
      <c r="A5895" s="2714"/>
      <c r="B5895" s="371">
        <v>103</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7">
      <c r="A5896" s="2714"/>
      <c r="B5896" s="371">
        <v>104</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7">
      <c r="A5897" s="2714"/>
      <c r="B5897" s="371">
        <v>105</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7.5" thickBot="1">
      <c r="A5898" s="2714"/>
      <c r="B5898" s="371"/>
      <c r="C5898" s="371"/>
      <c r="D5898" s="2716">
        <f t="shared" si="628"/>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7">
      <c r="A5899" s="2714"/>
      <c r="B5899" s="371"/>
      <c r="C5899" s="371" t="s">
        <v>2755</v>
      </c>
      <c r="D5899" s="371"/>
      <c r="F5899" s="294"/>
      <c r="G5899" s="301"/>
      <c r="H5899" s="393"/>
      <c r="I5899" s="315"/>
      <c r="J5899" s="393"/>
      <c r="K5899" s="291"/>
      <c r="L5899" s="291"/>
      <c r="M5899" s="291"/>
      <c r="S5899" s="364"/>
      <c r="Z5899" s="609" t="s">
        <v>4719</v>
      </c>
      <c r="AA5899" s="609"/>
    </row>
    <row r="5900" spans="1:27" ht="17">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6">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t="str">
        <f>IF(ROUND(K5900-K5901,2)=0,"F/S",ROUND(K5900-K5901,2))</f>
        <v>F/S</v>
      </c>
      <c r="M5901" s="532" t="s">
        <v>4713</v>
      </c>
      <c r="N5901" s="3084"/>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7">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7">
      <c r="A5904" s="2714"/>
      <c r="B5904" s="371">
        <v>101</v>
      </c>
      <c r="C5904" s="371" t="s">
        <v>2791</v>
      </c>
      <c r="D5904" s="2716">
        <f t="shared" ref="D5904:D5909" si="629">IF(OR(G5904="*",G5904="",G5904=0),0,COUNTIF($G$5904:$G$5909,G5904))</f>
        <v>0</v>
      </c>
      <c r="E5904" s="2721">
        <v>1</v>
      </c>
      <c r="F5904" s="294"/>
      <c r="G5904" s="1563" t="s">
        <v>2792</v>
      </c>
      <c r="H5904" s="360"/>
      <c r="I5904" s="309"/>
      <c r="J5904" s="388"/>
      <c r="K5904" s="291"/>
      <c r="L5904" s="291"/>
      <c r="M5904" s="291"/>
      <c r="S5904" s="364"/>
      <c r="Z5904" s="609">
        <v>7061</v>
      </c>
      <c r="AA5904" s="609"/>
    </row>
    <row r="5905" spans="1:27" ht="17">
      <c r="A5905" s="2714"/>
      <c r="B5905" s="371">
        <v>102</v>
      </c>
      <c r="C5905" s="371" t="s">
        <v>2791</v>
      </c>
      <c r="D5905" s="2716">
        <f t="shared" si="629"/>
        <v>0</v>
      </c>
      <c r="E5905" s="2721">
        <v>1</v>
      </c>
      <c r="F5905" s="294"/>
      <c r="G5905" s="1563" t="s">
        <v>2792</v>
      </c>
      <c r="H5905" s="360"/>
      <c r="I5905" s="309"/>
      <c r="J5905" s="388"/>
      <c r="K5905" s="291"/>
      <c r="L5905" s="291"/>
      <c r="M5905" s="291"/>
      <c r="S5905" s="364"/>
      <c r="Z5905" s="609">
        <v>7061</v>
      </c>
      <c r="AA5905" s="609"/>
    </row>
    <row r="5906" spans="1:27" ht="17">
      <c r="A5906" s="2714"/>
      <c r="B5906" s="371">
        <v>103</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7">
      <c r="A5907" s="2714"/>
      <c r="B5907" s="371">
        <v>104</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7">
      <c r="A5908" s="2714"/>
      <c r="B5908" s="371">
        <v>105</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7.5" thickBot="1">
      <c r="A5909" s="2714"/>
      <c r="B5909" s="371"/>
      <c r="C5909" s="371"/>
      <c r="D5909" s="2716">
        <f t="shared" si="629"/>
        <v>1</v>
      </c>
      <c r="E5909" s="2721" t="s">
        <v>2751</v>
      </c>
      <c r="F5909" s="294"/>
      <c r="G5909" s="1529" t="s">
        <v>2752</v>
      </c>
      <c r="H5909" s="1570"/>
      <c r="I5909" s="1527">
        <f>SUMPRODUCT($E5903:$E5908,I5903:I5908)</f>
        <v>0</v>
      </c>
      <c r="J5909" s="1571"/>
      <c r="K5909" s="291"/>
      <c r="L5909" s="291"/>
      <c r="M5909" s="291"/>
      <c r="S5909" s="364"/>
      <c r="Z5909" s="609">
        <v>7061</v>
      </c>
      <c r="AA5909" s="609"/>
    </row>
    <row r="5910" spans="1:27" ht="17">
      <c r="A5910" s="2714"/>
      <c r="B5910" s="371"/>
      <c r="C5910" s="371" t="s">
        <v>2755</v>
      </c>
      <c r="D5910" s="371"/>
      <c r="F5910" s="294"/>
      <c r="G5910" s="301"/>
      <c r="H5910" s="393"/>
      <c r="I5910" s="315"/>
      <c r="J5910" s="393"/>
      <c r="K5910" s="291"/>
      <c r="L5910" s="291"/>
      <c r="M5910" s="291"/>
      <c r="S5910" s="364"/>
      <c r="Z5910" s="609">
        <v>7061</v>
      </c>
      <c r="AA5910" s="609"/>
    </row>
    <row r="5911" spans="1:27" ht="17">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0</v>
      </c>
      <c r="L5911" s="342"/>
      <c r="M5911" s="306"/>
      <c r="N5911" s="341"/>
      <c r="O5911" s="306"/>
      <c r="P5911" s="301"/>
      <c r="S5911" s="364"/>
      <c r="Z5911" s="609">
        <v>7071</v>
      </c>
      <c r="AA5911" s="609"/>
    </row>
    <row r="5912" spans="1:27" ht="17">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t="str">
        <f>IF(ROUND(K5911-K5912,2)=0,"F/S",ROUND(K5911-K5912,2))</f>
        <v>F/S</v>
      </c>
      <c r="M5912" s="532" t="s">
        <v>4713</v>
      </c>
      <c r="N5912" s="3084"/>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7">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7">
      <c r="A5915" s="2714"/>
      <c r="B5915" s="371">
        <v>101</v>
      </c>
      <c r="C5915" s="371" t="s">
        <v>2791</v>
      </c>
      <c r="D5915" s="2716">
        <f t="shared" ref="D5915:D5920" si="630">IF(OR(G5915="*",G5915="",G5915=0),0,COUNTIF($G$5915:$G$5920,G5915))</f>
        <v>0</v>
      </c>
      <c r="E5915" s="2721">
        <v>1</v>
      </c>
      <c r="F5915" s="294"/>
      <c r="G5915" s="1563" t="s">
        <v>2792</v>
      </c>
      <c r="H5915" s="360"/>
      <c r="I5915" s="309"/>
      <c r="J5915" s="388"/>
      <c r="K5915" s="291"/>
      <c r="L5915" s="291"/>
      <c r="M5915" s="291"/>
      <c r="S5915" s="364"/>
      <c r="Z5915" s="609">
        <v>7071</v>
      </c>
      <c r="AA5915" s="609"/>
    </row>
    <row r="5916" spans="1:27" ht="17">
      <c r="A5916" s="2714"/>
      <c r="B5916" s="371">
        <v>102</v>
      </c>
      <c r="C5916" s="371" t="s">
        <v>2791</v>
      </c>
      <c r="D5916" s="2716">
        <f t="shared" si="630"/>
        <v>0</v>
      </c>
      <c r="E5916" s="2721">
        <v>1</v>
      </c>
      <c r="F5916" s="294"/>
      <c r="G5916" s="1563" t="s">
        <v>2792</v>
      </c>
      <c r="H5916" s="360"/>
      <c r="I5916" s="309"/>
      <c r="J5916" s="388"/>
      <c r="K5916" s="291"/>
      <c r="L5916" s="291"/>
      <c r="M5916" s="291"/>
      <c r="S5916" s="364"/>
      <c r="Z5916" s="609">
        <v>7071</v>
      </c>
      <c r="AA5916" s="609"/>
    </row>
    <row r="5917" spans="1:27" ht="17">
      <c r="A5917" s="2714"/>
      <c r="B5917" s="371">
        <v>103</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7">
      <c r="A5918" s="2714"/>
      <c r="B5918" s="371">
        <v>104</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7">
      <c r="A5919" s="2714"/>
      <c r="B5919" s="371">
        <v>105</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7.5" thickBot="1">
      <c r="A5920" s="2714"/>
      <c r="B5920" s="371"/>
      <c r="C5920" s="371"/>
      <c r="D5920" s="2716">
        <f t="shared" si="630"/>
        <v>1</v>
      </c>
      <c r="E5920" s="2721" t="s">
        <v>2751</v>
      </c>
      <c r="F5920" s="294"/>
      <c r="G5920" s="1529" t="s">
        <v>2752</v>
      </c>
      <c r="H5920" s="1570"/>
      <c r="I5920" s="1527">
        <f>SUMPRODUCT($E5914:$E5919,I5914:I5919)</f>
        <v>0</v>
      </c>
      <c r="J5920" s="1571"/>
      <c r="K5920" s="291"/>
      <c r="L5920" s="291"/>
      <c r="M5920" s="291"/>
      <c r="S5920" s="364"/>
      <c r="Z5920" s="609">
        <v>7071</v>
      </c>
      <c r="AA5920" s="609"/>
    </row>
    <row r="5921" spans="1:27" ht="17">
      <c r="A5921" s="2714"/>
      <c r="B5921" s="371"/>
      <c r="C5921" s="371" t="s">
        <v>2755</v>
      </c>
      <c r="D5921" s="371"/>
      <c r="F5921" s="294"/>
      <c r="G5921" s="301"/>
      <c r="H5921" s="393"/>
      <c r="I5921" s="315"/>
      <c r="J5921" s="393"/>
      <c r="K5921" s="291"/>
      <c r="L5921" s="291"/>
      <c r="M5921" s="291"/>
      <c r="S5921" s="364"/>
      <c r="Z5921" s="609">
        <v>7071</v>
      </c>
      <c r="AA5921" s="609"/>
    </row>
    <row r="5922" spans="1:27" ht="17">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2375</v>
      </c>
      <c r="L5922" s="342"/>
      <c r="M5922" s="306"/>
      <c r="N5922" s="341"/>
      <c r="O5922" s="306"/>
      <c r="P5922" s="301"/>
      <c r="S5922" s="364"/>
      <c r="Z5922" s="609">
        <v>7096</v>
      </c>
      <c r="AA5922" s="609"/>
    </row>
    <row r="5923" spans="1:27" ht="26">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2375</v>
      </c>
      <c r="M5923" s="532" t="s">
        <v>4713</v>
      </c>
      <c r="N5923" s="3084"/>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7">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7">
      <c r="A5926" s="2714"/>
      <c r="B5926" s="371">
        <v>101</v>
      </c>
      <c r="C5926" s="371" t="s">
        <v>2791</v>
      </c>
      <c r="D5926" s="2716">
        <f t="shared" ref="D5926:D5931" si="631">IF(OR(G5926="*",G5926="",G5926=0),0,COUNTIF($G$5926:$G$5931,G5926))</f>
        <v>0</v>
      </c>
      <c r="E5926" s="2721">
        <v>1</v>
      </c>
      <c r="F5926" s="294"/>
      <c r="G5926" s="1563" t="s">
        <v>2792</v>
      </c>
      <c r="H5926" s="360"/>
      <c r="I5926" s="309"/>
      <c r="J5926" s="388"/>
      <c r="K5926" s="291"/>
      <c r="L5926" s="291"/>
      <c r="M5926" s="291"/>
      <c r="S5926" s="364"/>
      <c r="Z5926" s="609">
        <v>7096</v>
      </c>
      <c r="AA5926" s="609"/>
    </row>
    <row r="5927" spans="1:27" ht="17">
      <c r="A5927" s="2714"/>
      <c r="B5927" s="371">
        <v>102</v>
      </c>
      <c r="C5927" s="371" t="s">
        <v>2791</v>
      </c>
      <c r="D5927" s="2716">
        <f t="shared" si="631"/>
        <v>0</v>
      </c>
      <c r="E5927" s="2721">
        <v>1</v>
      </c>
      <c r="F5927" s="294"/>
      <c r="G5927" s="1563" t="s">
        <v>2792</v>
      </c>
      <c r="H5927" s="360"/>
      <c r="I5927" s="309"/>
      <c r="J5927" s="388"/>
      <c r="K5927" s="291"/>
      <c r="L5927" s="291"/>
      <c r="M5927" s="291"/>
      <c r="S5927" s="364"/>
      <c r="Z5927" s="609">
        <v>7096</v>
      </c>
      <c r="AA5927" s="609"/>
    </row>
    <row r="5928" spans="1:27" ht="17">
      <c r="A5928" s="2714"/>
      <c r="B5928" s="371">
        <v>103</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7">
      <c r="A5929" s="2714"/>
      <c r="B5929" s="371">
        <v>104</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7">
      <c r="A5930" s="2714"/>
      <c r="B5930" s="371">
        <v>105</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7.5" thickBot="1">
      <c r="A5931" s="2714"/>
      <c r="B5931" s="371"/>
      <c r="C5931" s="371"/>
      <c r="D5931" s="2716">
        <f t="shared" si="631"/>
        <v>1</v>
      </c>
      <c r="E5931" s="2721" t="s">
        <v>2751</v>
      </c>
      <c r="F5931" s="294"/>
      <c r="G5931" s="1529" t="s">
        <v>2752</v>
      </c>
      <c r="H5931" s="1570"/>
      <c r="I5931" s="1527">
        <f>SUMPRODUCT($E5925:$E5930,I5925:I5930)</f>
        <v>0</v>
      </c>
      <c r="J5931" s="1571"/>
      <c r="K5931" s="291"/>
      <c r="L5931" s="291"/>
      <c r="M5931" s="291"/>
      <c r="S5931" s="364"/>
      <c r="Z5931" s="609">
        <v>7096</v>
      </c>
      <c r="AA5931" s="609"/>
    </row>
    <row r="5932" spans="1:27" ht="17">
      <c r="A5932" s="2714"/>
      <c r="B5932" s="371"/>
      <c r="C5932" s="371" t="s">
        <v>2755</v>
      </c>
      <c r="D5932" s="371"/>
      <c r="F5932" s="294"/>
      <c r="G5932" s="301"/>
      <c r="H5932" s="393"/>
      <c r="I5932" s="315"/>
      <c r="J5932" s="393"/>
      <c r="K5932" s="291"/>
      <c r="L5932" s="291"/>
      <c r="M5932" s="291"/>
      <c r="S5932" s="364"/>
      <c r="Z5932" s="609">
        <v>7096</v>
      </c>
      <c r="AA5932" s="609"/>
    </row>
    <row r="5933" spans="1:27" ht="17">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6">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84"/>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7">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7">
      <c r="A5937" s="2714"/>
      <c r="B5937" s="371">
        <v>101</v>
      </c>
      <c r="C5937" s="371" t="s">
        <v>2791</v>
      </c>
      <c r="D5937" s="2716">
        <f t="shared" ref="D5937:D5942" si="632">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7">
      <c r="A5938" s="2714"/>
      <c r="B5938" s="371">
        <v>102</v>
      </c>
      <c r="C5938" s="371" t="s">
        <v>2791</v>
      </c>
      <c r="D5938" s="2716">
        <f t="shared" si="632"/>
        <v>1</v>
      </c>
      <c r="E5938" s="2721">
        <v>1</v>
      </c>
      <c r="F5938" s="294"/>
      <c r="G5938" s="1563" t="s">
        <v>4727</v>
      </c>
      <c r="H5938" s="360" t="s">
        <v>4726</v>
      </c>
      <c r="I5938" s="309"/>
      <c r="J5938" s="388"/>
      <c r="K5938" s="291"/>
      <c r="L5938" s="291"/>
      <c r="M5938" s="291"/>
      <c r="S5938" s="364"/>
      <c r="Z5938" s="609">
        <v>7101</v>
      </c>
      <c r="AA5938" s="609"/>
    </row>
    <row r="5939" spans="1:27" ht="17">
      <c r="A5939" s="2714"/>
      <c r="B5939" s="371">
        <v>103</v>
      </c>
      <c r="C5939" s="371" t="s">
        <v>2791</v>
      </c>
      <c r="D5939" s="2716">
        <f t="shared" si="632"/>
        <v>1</v>
      </c>
      <c r="E5939" s="2721">
        <v>1</v>
      </c>
      <c r="F5939" s="294"/>
      <c r="G5939" s="1563" t="s">
        <v>4728</v>
      </c>
      <c r="H5939" s="360" t="s">
        <v>4726</v>
      </c>
      <c r="I5939" s="309"/>
      <c r="J5939" s="388"/>
      <c r="K5939" s="291"/>
      <c r="L5939" s="291"/>
      <c r="M5939" s="291"/>
      <c r="S5939" s="364"/>
      <c r="Z5939" s="609">
        <v>7101</v>
      </c>
      <c r="AA5939" s="609"/>
    </row>
    <row r="5940" spans="1:27" ht="17">
      <c r="A5940" s="2714"/>
      <c r="B5940" s="371">
        <v>104</v>
      </c>
      <c r="C5940" s="371" t="s">
        <v>2791</v>
      </c>
      <c r="D5940" s="2716">
        <f t="shared" si="632"/>
        <v>1</v>
      </c>
      <c r="E5940" s="2721">
        <v>1</v>
      </c>
      <c r="F5940" s="294"/>
      <c r="G5940" s="1563" t="s">
        <v>4729</v>
      </c>
      <c r="H5940" s="360" t="s">
        <v>4726</v>
      </c>
      <c r="I5940" s="309"/>
      <c r="J5940" s="388"/>
      <c r="K5940" s="291"/>
      <c r="L5940" s="291"/>
      <c r="M5940" s="291"/>
      <c r="S5940" s="364"/>
      <c r="Z5940" s="609">
        <v>7101</v>
      </c>
      <c r="AA5940" s="609"/>
    </row>
    <row r="5941" spans="1:27" ht="17">
      <c r="A5941" s="2714"/>
      <c r="B5941" s="371">
        <v>105</v>
      </c>
      <c r="C5941" s="371" t="s">
        <v>2791</v>
      </c>
      <c r="D5941" s="2716">
        <f t="shared" si="632"/>
        <v>0</v>
      </c>
      <c r="E5941" s="2721">
        <v>1</v>
      </c>
      <c r="F5941" s="294"/>
      <c r="G5941" s="1563" t="s">
        <v>2792</v>
      </c>
      <c r="H5941" s="360"/>
      <c r="I5941" s="309"/>
      <c r="J5941" s="388"/>
      <c r="K5941" s="291"/>
      <c r="L5941" s="291"/>
      <c r="M5941" s="291"/>
      <c r="S5941" s="364"/>
      <c r="Z5941" s="609">
        <v>7101</v>
      </c>
      <c r="AA5941" s="609"/>
    </row>
    <row r="5942" spans="1:27" ht="17.5" thickBot="1">
      <c r="A5942" s="2714"/>
      <c r="B5942" s="371"/>
      <c r="C5942" s="371"/>
      <c r="D5942" s="2716">
        <f t="shared" si="632"/>
        <v>1</v>
      </c>
      <c r="E5942" s="2721" t="s">
        <v>2751</v>
      </c>
      <c r="F5942" s="294"/>
      <c r="G5942" s="1529" t="s">
        <v>2752</v>
      </c>
      <c r="H5942" s="1570"/>
      <c r="I5942" s="1527">
        <f>SUMPRODUCT($E5936:$E5941,I5936:I5941)</f>
        <v>0</v>
      </c>
      <c r="J5942" s="1571"/>
      <c r="K5942" s="291"/>
      <c r="L5942" s="291"/>
      <c r="M5942" s="291"/>
      <c r="S5942" s="364"/>
      <c r="Z5942" s="609">
        <v>7101</v>
      </c>
      <c r="AA5942" s="609"/>
    </row>
    <row r="5943" spans="1:27" ht="17">
      <c r="A5943" s="2714"/>
      <c r="B5943" s="371"/>
      <c r="C5943" s="371" t="s">
        <v>2755</v>
      </c>
      <c r="D5943" s="371"/>
      <c r="F5943" s="294"/>
      <c r="G5943" s="301"/>
      <c r="H5943" s="393"/>
      <c r="I5943" s="315"/>
      <c r="J5943" s="393"/>
      <c r="K5943" s="291"/>
      <c r="L5943" s="291"/>
      <c r="M5943" s="291"/>
      <c r="S5943" s="364"/>
      <c r="Z5943" s="609">
        <v>7101</v>
      </c>
      <c r="AA5943" s="609"/>
    </row>
    <row r="5944" spans="1:27" ht="17">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6">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84"/>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7">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7">
      <c r="A5948" s="2714"/>
      <c r="B5948" s="371">
        <v>101</v>
      </c>
      <c r="C5948" s="371" t="s">
        <v>2791</v>
      </c>
      <c r="D5948" s="2716">
        <f t="shared" ref="D5948:D5953" si="633">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7">
      <c r="A5949" s="2714"/>
      <c r="B5949" s="371">
        <v>102</v>
      </c>
      <c r="C5949" s="371" t="s">
        <v>2791</v>
      </c>
      <c r="D5949" s="2716">
        <f t="shared" si="633"/>
        <v>1</v>
      </c>
      <c r="E5949" s="2721">
        <v>1</v>
      </c>
      <c r="F5949" s="294"/>
      <c r="G5949" s="1563" t="s">
        <v>4732</v>
      </c>
      <c r="H5949" s="360" t="s">
        <v>4726</v>
      </c>
      <c r="I5949" s="309"/>
      <c r="J5949" s="388"/>
      <c r="K5949" s="291"/>
      <c r="L5949" s="291"/>
      <c r="M5949" s="291"/>
      <c r="S5949" s="364"/>
      <c r="Z5949" s="609">
        <v>7105</v>
      </c>
      <c r="AA5949" s="609"/>
    </row>
    <row r="5950" spans="1:27" ht="17">
      <c r="A5950" s="2714"/>
      <c r="B5950" s="371">
        <v>103</v>
      </c>
      <c r="C5950" s="371" t="s">
        <v>2791</v>
      </c>
      <c r="D5950" s="2716">
        <f t="shared" si="633"/>
        <v>1</v>
      </c>
      <c r="E5950" s="2721">
        <v>1</v>
      </c>
      <c r="F5950" s="294"/>
      <c r="G5950" s="1563" t="s">
        <v>4733</v>
      </c>
      <c r="H5950" s="360" t="s">
        <v>4726</v>
      </c>
      <c r="I5950" s="309"/>
      <c r="J5950" s="388"/>
      <c r="K5950" s="291"/>
      <c r="L5950" s="291"/>
      <c r="M5950" s="291"/>
      <c r="S5950" s="364"/>
      <c r="Z5950" s="609">
        <v>7105</v>
      </c>
      <c r="AA5950" s="609"/>
    </row>
    <row r="5951" spans="1:27" ht="17">
      <c r="A5951" s="2714"/>
      <c r="B5951" s="371">
        <v>104</v>
      </c>
      <c r="C5951" s="371" t="s">
        <v>2791</v>
      </c>
      <c r="D5951" s="2716">
        <f t="shared" si="633"/>
        <v>1</v>
      </c>
      <c r="E5951" s="2721">
        <v>1</v>
      </c>
      <c r="F5951" s="294"/>
      <c r="G5951" s="1563" t="s">
        <v>4729</v>
      </c>
      <c r="H5951" s="360" t="s">
        <v>4726</v>
      </c>
      <c r="I5951" s="309"/>
      <c r="J5951" s="388"/>
      <c r="K5951" s="291"/>
      <c r="L5951" s="291"/>
      <c r="M5951" s="291"/>
      <c r="S5951" s="364"/>
      <c r="Z5951" s="609">
        <v>7105</v>
      </c>
      <c r="AA5951" s="609"/>
    </row>
    <row r="5952" spans="1:27" ht="17">
      <c r="A5952" s="2714"/>
      <c r="B5952" s="371">
        <v>105</v>
      </c>
      <c r="C5952" s="371" t="s">
        <v>2791</v>
      </c>
      <c r="D5952" s="2716">
        <f t="shared" si="633"/>
        <v>0</v>
      </c>
      <c r="E5952" s="2721">
        <v>1</v>
      </c>
      <c r="F5952" s="294"/>
      <c r="G5952" s="1563" t="s">
        <v>2792</v>
      </c>
      <c r="H5952" s="360"/>
      <c r="I5952" s="309"/>
      <c r="J5952" s="388"/>
      <c r="K5952" s="291"/>
      <c r="L5952" s="291"/>
      <c r="M5952" s="291"/>
      <c r="S5952" s="364"/>
      <c r="Z5952" s="609">
        <v>7105</v>
      </c>
      <c r="AA5952" s="609"/>
    </row>
    <row r="5953" spans="1:27" ht="17.5" thickBot="1">
      <c r="A5953" s="2714"/>
      <c r="B5953" s="371"/>
      <c r="C5953" s="371"/>
      <c r="D5953" s="2716">
        <f t="shared" si="633"/>
        <v>1</v>
      </c>
      <c r="E5953" s="2721" t="s">
        <v>2751</v>
      </c>
      <c r="F5953" s="294"/>
      <c r="G5953" s="1529" t="s">
        <v>2752</v>
      </c>
      <c r="H5953" s="1570"/>
      <c r="I5953" s="1527">
        <f>SUMPRODUCT($E5947:$E5952,I5947:I5952)</f>
        <v>0</v>
      </c>
      <c r="J5953" s="1571"/>
      <c r="K5953" s="291"/>
      <c r="L5953" s="291"/>
      <c r="M5953" s="291"/>
      <c r="S5953" s="364"/>
      <c r="Z5953" s="609">
        <v>7105</v>
      </c>
      <c r="AA5953" s="609"/>
    </row>
    <row r="5954" spans="1:27" ht="17">
      <c r="A5954" s="2714"/>
      <c r="B5954" s="371"/>
      <c r="C5954" s="371" t="s">
        <v>2755</v>
      </c>
      <c r="D5954" s="371"/>
      <c r="F5954" s="294"/>
      <c r="G5954" s="301"/>
      <c r="H5954" s="393"/>
      <c r="I5954" s="315"/>
      <c r="J5954" s="393"/>
      <c r="K5954" s="291"/>
      <c r="L5954" s="291"/>
      <c r="M5954" s="291"/>
      <c r="S5954" s="364"/>
      <c r="Z5954" s="609">
        <v>7105</v>
      </c>
      <c r="AA5954" s="609"/>
    </row>
    <row r="5955" spans="1:27" ht="17">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6">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t="str">
        <f>IF(ROUND(K5955-K5956,2)=0,"F/S",ROUND(K5955-K5956,2))</f>
        <v>F/S</v>
      </c>
      <c r="M5956" s="532" t="s">
        <v>4713</v>
      </c>
      <c r="N5956" s="3084"/>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7">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7">
      <c r="A5959" s="2714"/>
      <c r="B5959" s="371">
        <v>101</v>
      </c>
      <c r="C5959" s="371" t="s">
        <v>2791</v>
      </c>
      <c r="D5959" s="2716">
        <f t="shared" ref="D5959:D5972" si="634">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7">
      <c r="A5960" s="2714"/>
      <c r="B5960" s="371">
        <v>102</v>
      </c>
      <c r="C5960" s="371" t="s">
        <v>2791</v>
      </c>
      <c r="D5960" s="2716">
        <f t="shared" si="634"/>
        <v>1</v>
      </c>
      <c r="E5960" s="2721">
        <v>1</v>
      </c>
      <c r="F5960" s="294"/>
      <c r="G5960" s="1563" t="s">
        <v>4736</v>
      </c>
      <c r="H5960" s="360" t="s">
        <v>4726</v>
      </c>
      <c r="I5960" s="309"/>
      <c r="J5960" s="388"/>
      <c r="K5960" s="291"/>
      <c r="L5960" s="291"/>
      <c r="M5960" s="291"/>
      <c r="S5960" s="364"/>
      <c r="Z5960" s="609">
        <v>7111</v>
      </c>
      <c r="AA5960" s="609"/>
    </row>
    <row r="5961" spans="1:27" ht="17">
      <c r="A5961" s="2714"/>
      <c r="B5961" s="371">
        <v>103</v>
      </c>
      <c r="C5961" s="371" t="s">
        <v>2791</v>
      </c>
      <c r="D5961" s="2716">
        <f t="shared" si="634"/>
        <v>1</v>
      </c>
      <c r="E5961" s="2721">
        <v>1</v>
      </c>
      <c r="F5961" s="294"/>
      <c r="G5961" s="1563" t="s">
        <v>4737</v>
      </c>
      <c r="H5961" s="360" t="s">
        <v>4726</v>
      </c>
      <c r="I5961" s="309"/>
      <c r="J5961" s="388"/>
      <c r="K5961" s="291"/>
      <c r="L5961" s="291"/>
      <c r="M5961" s="291"/>
      <c r="S5961" s="364"/>
      <c r="Z5961" s="609">
        <v>7111</v>
      </c>
      <c r="AA5961" s="609"/>
    </row>
    <row r="5962" spans="1:27" ht="17">
      <c r="A5962" s="2714"/>
      <c r="B5962" s="371">
        <v>104</v>
      </c>
      <c r="C5962" s="371" t="s">
        <v>2791</v>
      </c>
      <c r="D5962" s="2716">
        <f t="shared" si="634"/>
        <v>1</v>
      </c>
      <c r="E5962" s="2721">
        <v>1</v>
      </c>
      <c r="F5962" s="294"/>
      <c r="G5962" s="1563" t="s">
        <v>4738</v>
      </c>
      <c r="H5962" s="360" t="s">
        <v>4726</v>
      </c>
      <c r="I5962" s="309"/>
      <c r="J5962" s="388"/>
      <c r="K5962" s="291"/>
      <c r="L5962" s="291"/>
      <c r="M5962" s="291"/>
      <c r="S5962" s="364"/>
      <c r="Z5962" s="609">
        <v>7111</v>
      </c>
      <c r="AA5962" s="609"/>
    </row>
    <row r="5963" spans="1:27" ht="17">
      <c r="A5963" s="2714"/>
      <c r="B5963" s="371">
        <v>105</v>
      </c>
      <c r="C5963" s="371" t="s">
        <v>2791</v>
      </c>
      <c r="D5963" s="2716">
        <f t="shared" si="634"/>
        <v>1</v>
      </c>
      <c r="E5963" s="2721">
        <v>1</v>
      </c>
      <c r="F5963" s="294"/>
      <c r="G5963" s="1563" t="s">
        <v>4739</v>
      </c>
      <c r="H5963" s="360" t="s">
        <v>4726</v>
      </c>
      <c r="I5963" s="309"/>
      <c r="J5963" s="388"/>
      <c r="K5963" s="291"/>
      <c r="L5963" s="291"/>
      <c r="M5963" s="291"/>
      <c r="S5963" s="364"/>
      <c r="Z5963" s="609">
        <v>7111</v>
      </c>
      <c r="AA5963" s="609"/>
    </row>
    <row r="5964" spans="1:27" ht="26">
      <c r="A5964" s="2714"/>
      <c r="B5964" s="371">
        <v>106</v>
      </c>
      <c r="C5964" s="371" t="s">
        <v>2791</v>
      </c>
      <c r="D5964" s="2716">
        <f t="shared" si="634"/>
        <v>1</v>
      </c>
      <c r="E5964" s="2721">
        <v>-1</v>
      </c>
      <c r="F5964" s="294"/>
      <c r="G5964" s="1563" t="s">
        <v>4740</v>
      </c>
      <c r="H5964" s="360" t="s">
        <v>4741</v>
      </c>
      <c r="I5964" s="309"/>
      <c r="J5964" s="388"/>
      <c r="K5964" s="291"/>
      <c r="L5964" s="291"/>
      <c r="M5964" s="291"/>
      <c r="S5964" s="364"/>
      <c r="Z5964" s="609">
        <v>7111</v>
      </c>
      <c r="AA5964" s="609"/>
    </row>
    <row r="5965" spans="1:27" ht="17">
      <c r="A5965" s="2714"/>
      <c r="B5965" s="371">
        <v>107</v>
      </c>
      <c r="C5965" s="371" t="s">
        <v>2791</v>
      </c>
      <c r="D5965" s="2716">
        <f t="shared" si="634"/>
        <v>1</v>
      </c>
      <c r="E5965" s="2721">
        <v>-1</v>
      </c>
      <c r="F5965" s="294"/>
      <c r="G5965" s="1563" t="s">
        <v>4742</v>
      </c>
      <c r="H5965" s="360" t="s">
        <v>4741</v>
      </c>
      <c r="I5965" s="309"/>
      <c r="J5965" s="388"/>
      <c r="K5965" s="291"/>
      <c r="L5965" s="291"/>
      <c r="M5965" s="291"/>
      <c r="S5965" s="364"/>
      <c r="Z5965" s="609">
        <v>7111</v>
      </c>
      <c r="AA5965" s="609"/>
    </row>
    <row r="5966" spans="1:27" ht="17">
      <c r="A5966" s="2714"/>
      <c r="B5966" s="371">
        <v>108</v>
      </c>
      <c r="C5966" s="371" t="s">
        <v>2791</v>
      </c>
      <c r="D5966" s="2716">
        <f t="shared" si="634"/>
        <v>1</v>
      </c>
      <c r="E5966" s="2721">
        <v>-1</v>
      </c>
      <c r="F5966" s="294"/>
      <c r="G5966" s="1563" t="s">
        <v>4743</v>
      </c>
      <c r="H5966" s="360" t="s">
        <v>4741</v>
      </c>
      <c r="I5966" s="309"/>
      <c r="J5966" s="388"/>
      <c r="K5966" s="291"/>
      <c r="L5966" s="291"/>
      <c r="M5966" s="291"/>
      <c r="S5966" s="364"/>
      <c r="Z5966" s="609">
        <v>7111</v>
      </c>
      <c r="AA5966" s="609"/>
    </row>
    <row r="5967" spans="1:27" ht="26">
      <c r="A5967" s="2714"/>
      <c r="B5967" s="371">
        <v>109</v>
      </c>
      <c r="C5967" s="371" t="s">
        <v>2791</v>
      </c>
      <c r="D5967" s="2716">
        <f t="shared" si="634"/>
        <v>1</v>
      </c>
      <c r="E5967" s="2721">
        <v>1</v>
      </c>
      <c r="F5967" s="294"/>
      <c r="G5967" s="1563" t="s">
        <v>4744</v>
      </c>
      <c r="H5967" s="360" t="s">
        <v>4726</v>
      </c>
      <c r="I5967" s="309"/>
      <c r="J5967" s="388"/>
      <c r="K5967" s="291"/>
      <c r="L5967" s="291"/>
      <c r="M5967" s="291"/>
      <c r="S5967" s="364"/>
      <c r="Z5967" s="609">
        <v>7111</v>
      </c>
      <c r="AA5967" s="609"/>
    </row>
    <row r="5968" spans="1:27" ht="26">
      <c r="A5968" s="2714"/>
      <c r="B5968" s="371">
        <v>110</v>
      </c>
      <c r="C5968" s="371" t="s">
        <v>2791</v>
      </c>
      <c r="D5968" s="2716">
        <f t="shared" si="634"/>
        <v>1</v>
      </c>
      <c r="E5968" s="2721">
        <v>-1</v>
      </c>
      <c r="F5968" s="294"/>
      <c r="G5968" s="1563" t="s">
        <v>4745</v>
      </c>
      <c r="H5968" s="360" t="s">
        <v>4741</v>
      </c>
      <c r="I5968" s="309"/>
      <c r="J5968" s="388"/>
      <c r="K5968" s="291"/>
      <c r="L5968" s="291"/>
      <c r="M5968" s="291"/>
      <c r="S5968" s="364"/>
      <c r="Z5968" s="609">
        <v>7111</v>
      </c>
      <c r="AA5968" s="609"/>
    </row>
    <row r="5969" spans="1:27" ht="26">
      <c r="A5969" s="2714"/>
      <c r="B5969" s="371">
        <v>111</v>
      </c>
      <c r="C5969" s="371" t="s">
        <v>2791</v>
      </c>
      <c r="D5969" s="2716">
        <f t="shared" si="634"/>
        <v>1</v>
      </c>
      <c r="E5969" s="2721">
        <v>1</v>
      </c>
      <c r="F5969" s="294"/>
      <c r="G5969" s="1563" t="s">
        <v>4746</v>
      </c>
      <c r="H5969" s="360" t="s">
        <v>4726</v>
      </c>
      <c r="I5969" s="309"/>
      <c r="J5969" s="388"/>
      <c r="K5969" s="291"/>
      <c r="L5969" s="291"/>
      <c r="M5969" s="291"/>
      <c r="S5969" s="364"/>
      <c r="Z5969" s="609">
        <v>7111</v>
      </c>
      <c r="AA5969" s="609"/>
    </row>
    <row r="5970" spans="1:27" ht="17">
      <c r="A5970" s="2714"/>
      <c r="B5970" s="371">
        <v>112</v>
      </c>
      <c r="C5970" s="371" t="s">
        <v>2791</v>
      </c>
      <c r="D5970" s="2716">
        <f t="shared" si="634"/>
        <v>1</v>
      </c>
      <c r="E5970" s="2721">
        <v>1</v>
      </c>
      <c r="F5970" s="294"/>
      <c r="G5970" s="1563" t="s">
        <v>932</v>
      </c>
      <c r="H5970" s="360" t="s">
        <v>4726</v>
      </c>
      <c r="I5970" s="309"/>
      <c r="J5970" s="388"/>
      <c r="K5970" s="291"/>
      <c r="L5970" s="291"/>
      <c r="M5970" s="291"/>
      <c r="S5970" s="364"/>
      <c r="Z5970" s="609">
        <v>7111</v>
      </c>
      <c r="AA5970" s="609"/>
    </row>
    <row r="5971" spans="1:27" ht="17">
      <c r="A5971" s="2714"/>
      <c r="B5971" s="371">
        <v>113</v>
      </c>
      <c r="C5971" s="371" t="s">
        <v>2791</v>
      </c>
      <c r="D5971" s="2716">
        <f t="shared" si="634"/>
        <v>0</v>
      </c>
      <c r="E5971" s="2721">
        <v>1</v>
      </c>
      <c r="F5971" s="294"/>
      <c r="G5971" s="1563" t="s">
        <v>2792</v>
      </c>
      <c r="H5971" s="360"/>
      <c r="I5971" s="309"/>
      <c r="J5971" s="388"/>
      <c r="K5971" s="291"/>
      <c r="L5971" s="291"/>
      <c r="M5971" s="291"/>
      <c r="S5971" s="364"/>
      <c r="Z5971" s="609">
        <v>7111</v>
      </c>
      <c r="AA5971" s="609"/>
    </row>
    <row r="5972" spans="1:27" ht="17.5" thickBot="1">
      <c r="A5972" s="2714"/>
      <c r="B5972" s="371"/>
      <c r="C5972" s="371"/>
      <c r="D5972" s="2716">
        <f t="shared" si="634"/>
        <v>1</v>
      </c>
      <c r="E5972" s="2721" t="s">
        <v>2751</v>
      </c>
      <c r="F5972" s="294"/>
      <c r="G5972" s="1529" t="s">
        <v>2752</v>
      </c>
      <c r="H5972" s="1570"/>
      <c r="I5972" s="1527">
        <f>SUMPRODUCT($E5958:$E5971,I5958:I5971)</f>
        <v>0</v>
      </c>
      <c r="J5972" s="1571"/>
      <c r="K5972" s="291"/>
      <c r="L5972" s="291"/>
      <c r="M5972" s="291"/>
      <c r="S5972" s="364"/>
      <c r="Z5972" s="609">
        <v>7111</v>
      </c>
      <c r="AA5972" s="609"/>
    </row>
    <row r="5973" spans="1:27" ht="17">
      <c r="A5973" s="2714"/>
      <c r="B5973" s="371"/>
      <c r="C5973" s="371" t="s">
        <v>2755</v>
      </c>
      <c r="D5973" s="371"/>
      <c r="F5973" s="294"/>
      <c r="G5973" s="301"/>
      <c r="H5973" s="393"/>
      <c r="I5973" s="315"/>
      <c r="J5973" s="393"/>
      <c r="K5973" s="291"/>
      <c r="L5973" s="291"/>
      <c r="M5973" s="291"/>
      <c r="S5973" s="364"/>
      <c r="Z5973" s="609">
        <v>7111</v>
      </c>
      <c r="AA5973" s="609"/>
    </row>
    <row r="5974" spans="1:27" ht="17">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6">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t="str">
        <f>IF(ROUND(K5974-K5975,2)=0,"F/S",ROUND(K5974-K5975,2))</f>
        <v>F/S</v>
      </c>
      <c r="M5975" s="532" t="s">
        <v>4713</v>
      </c>
      <c r="N5975" s="3084"/>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7">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7">
      <c r="A5978" s="2714"/>
      <c r="B5978" s="371">
        <v>101</v>
      </c>
      <c r="C5978" s="371" t="s">
        <v>2791</v>
      </c>
      <c r="D5978" s="2716">
        <f t="shared" ref="D5978:D5993" si="635">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26">
      <c r="A5979" s="2714"/>
      <c r="B5979" s="371">
        <v>102</v>
      </c>
      <c r="C5979" s="371" t="s">
        <v>2791</v>
      </c>
      <c r="D5979" s="2716">
        <f t="shared" si="635"/>
        <v>1</v>
      </c>
      <c r="E5979" s="2721">
        <v>1</v>
      </c>
      <c r="F5979" s="294"/>
      <c r="G5979" s="1563" t="s">
        <v>4749</v>
      </c>
      <c r="H5979" s="360" t="s">
        <v>4726</v>
      </c>
      <c r="I5979" s="309"/>
      <c r="J5979" s="388"/>
      <c r="K5979" s="291"/>
      <c r="L5979" s="291"/>
      <c r="M5979" s="291"/>
      <c r="S5979" s="364"/>
      <c r="Z5979" s="609">
        <v>7151</v>
      </c>
      <c r="AA5979" s="609"/>
    </row>
    <row r="5980" spans="1:27" ht="26">
      <c r="A5980" s="2714"/>
      <c r="B5980" s="371">
        <v>103</v>
      </c>
      <c r="C5980" s="371" t="s">
        <v>2791</v>
      </c>
      <c r="D5980" s="2716">
        <f t="shared" si="635"/>
        <v>1</v>
      </c>
      <c r="E5980" s="2721">
        <v>1</v>
      </c>
      <c r="F5980" s="294"/>
      <c r="G5980" s="1563" t="s">
        <v>4750</v>
      </c>
      <c r="H5980" s="360" t="s">
        <v>4726</v>
      </c>
      <c r="I5980" s="309"/>
      <c r="J5980" s="388"/>
      <c r="K5980" s="291"/>
      <c r="L5980" s="291"/>
      <c r="M5980" s="291"/>
      <c r="S5980" s="364"/>
      <c r="Z5980" s="609">
        <v>7151</v>
      </c>
      <c r="AA5980" s="609"/>
    </row>
    <row r="5981" spans="1:27" ht="39">
      <c r="A5981" s="2714"/>
      <c r="B5981" s="371">
        <v>104</v>
      </c>
      <c r="C5981" s="371" t="s">
        <v>2791</v>
      </c>
      <c r="D5981" s="2716">
        <f t="shared" si="635"/>
        <v>1</v>
      </c>
      <c r="E5981" s="2721">
        <v>1</v>
      </c>
      <c r="F5981" s="294"/>
      <c r="G5981" s="1591" t="s">
        <v>5524</v>
      </c>
      <c r="H5981" s="360" t="s">
        <v>4726</v>
      </c>
      <c r="I5981" s="309"/>
      <c r="J5981" s="388"/>
      <c r="K5981" s="291"/>
      <c r="L5981" s="291"/>
      <c r="M5981" s="291"/>
      <c r="S5981" s="364"/>
      <c r="Z5981" s="609">
        <v>7151</v>
      </c>
      <c r="AA5981" s="609"/>
    </row>
    <row r="5982" spans="1:27" ht="17">
      <c r="A5982" s="2714"/>
      <c r="B5982" s="371">
        <v>105</v>
      </c>
      <c r="C5982" s="371" t="s">
        <v>2791</v>
      </c>
      <c r="D5982" s="2716">
        <f t="shared" si="635"/>
        <v>1</v>
      </c>
      <c r="E5982" s="2721">
        <v>1</v>
      </c>
      <c r="F5982" s="294"/>
      <c r="G5982" s="1563" t="s">
        <v>4751</v>
      </c>
      <c r="H5982" s="360" t="s">
        <v>4726</v>
      </c>
      <c r="I5982" s="309"/>
      <c r="J5982" s="388"/>
      <c r="K5982" s="291"/>
      <c r="L5982" s="291"/>
      <c r="M5982" s="291"/>
      <c r="S5982" s="364"/>
      <c r="Z5982" s="609">
        <v>7151</v>
      </c>
      <c r="AA5982" s="609"/>
    </row>
    <row r="5983" spans="1:27" ht="17">
      <c r="A5983" s="2714"/>
      <c r="B5983" s="371">
        <v>106</v>
      </c>
      <c r="C5983" s="371" t="s">
        <v>2791</v>
      </c>
      <c r="D5983" s="2716">
        <f t="shared" si="635"/>
        <v>1</v>
      </c>
      <c r="E5983" s="2721">
        <v>1</v>
      </c>
      <c r="F5983" s="294"/>
      <c r="G5983" s="1563" t="s">
        <v>4752</v>
      </c>
      <c r="H5983" s="360" t="s">
        <v>4726</v>
      </c>
      <c r="I5983" s="309"/>
      <c r="J5983" s="388"/>
      <c r="K5983" s="291"/>
      <c r="L5983" s="291"/>
      <c r="M5983" s="291"/>
      <c r="S5983" s="364"/>
      <c r="Z5983" s="609">
        <v>7151</v>
      </c>
      <c r="AA5983" s="609"/>
    </row>
    <row r="5984" spans="1:27" ht="17">
      <c r="A5984" s="2714"/>
      <c r="B5984" s="371">
        <v>107</v>
      </c>
      <c r="C5984" s="371" t="s">
        <v>2791</v>
      </c>
      <c r="D5984" s="2716">
        <f t="shared" si="635"/>
        <v>1</v>
      </c>
      <c r="E5984" s="2721">
        <v>1</v>
      </c>
      <c r="F5984" s="294"/>
      <c r="G5984" s="1563" t="s">
        <v>4753</v>
      </c>
      <c r="H5984" s="360" t="s">
        <v>4726</v>
      </c>
      <c r="I5984" s="309"/>
      <c r="J5984" s="388"/>
      <c r="K5984" s="291"/>
      <c r="L5984" s="291"/>
      <c r="M5984" s="291"/>
      <c r="S5984" s="364"/>
      <c r="Z5984" s="609">
        <v>7151</v>
      </c>
      <c r="AA5984" s="609"/>
    </row>
    <row r="5985" spans="1:27" ht="17">
      <c r="A5985" s="2714"/>
      <c r="B5985" s="371">
        <v>108</v>
      </c>
      <c r="C5985" s="371" t="s">
        <v>2791</v>
      </c>
      <c r="D5985" s="2716">
        <f t="shared" si="635"/>
        <v>1</v>
      </c>
      <c r="E5985" s="2721">
        <v>1</v>
      </c>
      <c r="F5985" s="294"/>
      <c r="G5985" s="1563" t="s">
        <v>4754</v>
      </c>
      <c r="H5985" s="360" t="s">
        <v>4726</v>
      </c>
      <c r="I5985" s="309"/>
      <c r="J5985" s="388"/>
      <c r="K5985" s="291"/>
      <c r="L5985" s="291"/>
      <c r="M5985" s="291"/>
      <c r="S5985" s="364"/>
      <c r="Z5985" s="609">
        <v>7151</v>
      </c>
      <c r="AA5985" s="609"/>
    </row>
    <row r="5986" spans="1:27" ht="26">
      <c r="A5986" s="2714"/>
      <c r="B5986" s="371">
        <v>109</v>
      </c>
      <c r="C5986" s="371" t="s">
        <v>2791</v>
      </c>
      <c r="D5986" s="2716">
        <f t="shared" si="635"/>
        <v>1</v>
      </c>
      <c r="E5986" s="2721">
        <v>-1</v>
      </c>
      <c r="F5986" s="294"/>
      <c r="G5986" s="1563" t="s">
        <v>4740</v>
      </c>
      <c r="H5986" s="360" t="s">
        <v>4741</v>
      </c>
      <c r="I5986" s="309"/>
      <c r="J5986" s="388"/>
      <c r="K5986" s="291"/>
      <c r="L5986" s="291"/>
      <c r="M5986" s="291"/>
      <c r="S5986" s="364"/>
      <c r="Z5986" s="609">
        <v>7151</v>
      </c>
      <c r="AA5986" s="609"/>
    </row>
    <row r="5987" spans="1:27" ht="26">
      <c r="A5987" s="2714"/>
      <c r="B5987" s="371">
        <v>110</v>
      </c>
      <c r="C5987" s="371" t="s">
        <v>2791</v>
      </c>
      <c r="D5987" s="2716">
        <f t="shared" si="635"/>
        <v>1</v>
      </c>
      <c r="E5987" s="2721">
        <v>-1</v>
      </c>
      <c r="F5987" s="294"/>
      <c r="G5987" s="1563" t="s">
        <v>4755</v>
      </c>
      <c r="H5987" s="360" t="s">
        <v>4741</v>
      </c>
      <c r="I5987" s="309"/>
      <c r="J5987" s="388"/>
      <c r="K5987" s="291"/>
      <c r="L5987" s="291"/>
      <c r="M5987" s="291"/>
      <c r="S5987" s="364"/>
      <c r="Z5987" s="609">
        <v>7151</v>
      </c>
      <c r="AA5987" s="609"/>
    </row>
    <row r="5988" spans="1:27" ht="26">
      <c r="A5988" s="2714"/>
      <c r="B5988" s="371">
        <v>111</v>
      </c>
      <c r="C5988" s="371" t="s">
        <v>2791</v>
      </c>
      <c r="D5988" s="2716">
        <f t="shared" si="635"/>
        <v>1</v>
      </c>
      <c r="E5988" s="2721">
        <v>-1</v>
      </c>
      <c r="F5988" s="294"/>
      <c r="G5988" s="1563" t="s">
        <v>4756</v>
      </c>
      <c r="H5988" s="360" t="s">
        <v>4741</v>
      </c>
      <c r="I5988" s="309"/>
      <c r="J5988" s="388"/>
      <c r="K5988" s="291"/>
      <c r="L5988" s="291"/>
      <c r="M5988" s="291"/>
      <c r="S5988" s="364"/>
      <c r="Z5988" s="609">
        <v>7151</v>
      </c>
      <c r="AA5988" s="609"/>
    </row>
    <row r="5989" spans="1:27" ht="26">
      <c r="A5989" s="2714"/>
      <c r="B5989" s="371">
        <v>112</v>
      </c>
      <c r="C5989" s="371" t="s">
        <v>2791</v>
      </c>
      <c r="D5989" s="2716">
        <f t="shared" si="635"/>
        <v>1</v>
      </c>
      <c r="E5989" s="2721">
        <v>-1</v>
      </c>
      <c r="F5989" s="294"/>
      <c r="G5989" s="1563" t="s">
        <v>4757</v>
      </c>
      <c r="H5989" s="360" t="s">
        <v>4741</v>
      </c>
      <c r="I5989" s="309"/>
      <c r="J5989" s="388"/>
      <c r="K5989" s="291"/>
      <c r="L5989" s="291"/>
      <c r="M5989" s="291"/>
      <c r="S5989" s="364"/>
      <c r="Z5989" s="609">
        <v>7151</v>
      </c>
      <c r="AA5989" s="609"/>
    </row>
    <row r="5990" spans="1:27" ht="26">
      <c r="A5990" s="2714"/>
      <c r="B5990" s="371">
        <v>113</v>
      </c>
      <c r="C5990" s="371" t="s">
        <v>2791</v>
      </c>
      <c r="D5990" s="2716">
        <f t="shared" si="635"/>
        <v>1</v>
      </c>
      <c r="E5990" s="2721">
        <v>-1</v>
      </c>
      <c r="F5990" s="294"/>
      <c r="G5990" s="1563" t="s">
        <v>4758</v>
      </c>
      <c r="H5990" s="360" t="s">
        <v>4741</v>
      </c>
      <c r="I5990" s="309"/>
      <c r="J5990" s="388"/>
      <c r="K5990" s="291"/>
      <c r="L5990" s="291"/>
      <c r="M5990" s="291"/>
      <c r="S5990" s="364"/>
      <c r="Z5990" s="609">
        <v>7151</v>
      </c>
      <c r="AA5990" s="609"/>
    </row>
    <row r="5991" spans="1:27" ht="17">
      <c r="A5991" s="2714"/>
      <c r="B5991" s="371">
        <v>114</v>
      </c>
      <c r="C5991" s="371" t="s">
        <v>2791</v>
      </c>
      <c r="D5991" s="2716">
        <f t="shared" si="635"/>
        <v>1</v>
      </c>
      <c r="E5991" s="2721">
        <v>1</v>
      </c>
      <c r="F5991" s="294"/>
      <c r="G5991" s="1563" t="s">
        <v>932</v>
      </c>
      <c r="H5991" s="360" t="s">
        <v>4726</v>
      </c>
      <c r="I5991" s="309"/>
      <c r="J5991" s="388"/>
      <c r="K5991" s="291"/>
      <c r="L5991" s="291"/>
      <c r="M5991" s="291"/>
      <c r="S5991" s="364"/>
      <c r="Z5991" s="609">
        <v>7151</v>
      </c>
      <c r="AA5991" s="609"/>
    </row>
    <row r="5992" spans="1:27" ht="17">
      <c r="A5992" s="2714"/>
      <c r="B5992" s="371">
        <v>115</v>
      </c>
      <c r="C5992" s="371" t="s">
        <v>2791</v>
      </c>
      <c r="D5992" s="2716">
        <f t="shared" si="635"/>
        <v>0</v>
      </c>
      <c r="E5992" s="2721">
        <v>1</v>
      </c>
      <c r="F5992" s="294"/>
      <c r="G5992" s="1563" t="s">
        <v>2792</v>
      </c>
      <c r="H5992" s="360"/>
      <c r="I5992" s="309"/>
      <c r="J5992" s="388"/>
      <c r="K5992" s="291"/>
      <c r="L5992" s="291"/>
      <c r="M5992" s="291"/>
      <c r="S5992" s="364"/>
      <c r="Z5992" s="609">
        <v>7151</v>
      </c>
      <c r="AA5992" s="609"/>
    </row>
    <row r="5993" spans="1:27" ht="17.5" thickBot="1">
      <c r="A5993" s="2714"/>
      <c r="B5993" s="371"/>
      <c r="C5993" s="371"/>
      <c r="D5993" s="2716">
        <f t="shared" si="635"/>
        <v>1</v>
      </c>
      <c r="E5993" s="2721" t="s">
        <v>2751</v>
      </c>
      <c r="F5993" s="294"/>
      <c r="G5993" s="1529" t="s">
        <v>2752</v>
      </c>
      <c r="H5993" s="1570"/>
      <c r="I5993" s="1527">
        <f>SUMPRODUCT($E5977:$E5992,I5977:I5992)</f>
        <v>0</v>
      </c>
      <c r="J5993" s="1571"/>
      <c r="K5993" s="291"/>
      <c r="L5993" s="291"/>
      <c r="M5993" s="291"/>
      <c r="S5993" s="364"/>
      <c r="Z5993" s="609">
        <v>7151</v>
      </c>
      <c r="AA5993" s="609"/>
    </row>
    <row r="5994" spans="1:27" ht="17">
      <c r="A5994" s="2714"/>
      <c r="B5994" s="371"/>
      <c r="C5994" s="371" t="s">
        <v>2755</v>
      </c>
      <c r="D5994" s="371"/>
      <c r="F5994" s="294"/>
      <c r="G5994" s="301"/>
      <c r="H5994" s="393"/>
      <c r="I5994" s="315"/>
      <c r="J5994" s="393"/>
      <c r="K5994" s="291"/>
      <c r="L5994" s="291"/>
      <c r="M5994" s="291"/>
      <c r="S5994" s="364"/>
      <c r="Z5994" s="609">
        <v>7151</v>
      </c>
      <c r="AA5994" s="609"/>
    </row>
    <row r="5995" spans="1:27" ht="17">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7">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t="str">
        <f>IF(ROUND(K5995-K5996,2)=0,"F/S",ROUND(K5995-K5996,2))</f>
        <v>F/S</v>
      </c>
      <c r="M5996" s="532" t="s">
        <v>4713</v>
      </c>
      <c r="N5996" s="3084"/>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7">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7">
      <c r="A5999" s="2714"/>
      <c r="B5999" s="371">
        <v>101</v>
      </c>
      <c r="C5999" s="371" t="s">
        <v>2791</v>
      </c>
      <c r="D5999" s="2716">
        <f t="shared" ref="D5999:D6004" si="636">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7">
      <c r="A6000" s="2714"/>
      <c r="B6000" s="371">
        <v>102</v>
      </c>
      <c r="C6000" s="371" t="s">
        <v>2791</v>
      </c>
      <c r="D6000" s="2716">
        <f t="shared" si="636"/>
        <v>1</v>
      </c>
      <c r="E6000" s="2721">
        <v>1</v>
      </c>
      <c r="F6000" s="294"/>
      <c r="G6000" s="1563" t="s">
        <v>4761</v>
      </c>
      <c r="H6000" s="360" t="s">
        <v>4726</v>
      </c>
      <c r="I6000" s="309"/>
      <c r="J6000" s="388"/>
      <c r="K6000" s="291"/>
      <c r="L6000" s="291"/>
      <c r="M6000" s="291"/>
      <c r="S6000" s="364"/>
      <c r="Z6000" s="609">
        <v>7161</v>
      </c>
      <c r="AA6000" s="609"/>
    </row>
    <row r="6001" spans="1:27" ht="17">
      <c r="A6001" s="2714"/>
      <c r="B6001" s="371">
        <v>103</v>
      </c>
      <c r="C6001" s="371" t="s">
        <v>2791</v>
      </c>
      <c r="D6001" s="2716">
        <f t="shared" si="636"/>
        <v>1</v>
      </c>
      <c r="E6001" s="2721">
        <v>1</v>
      </c>
      <c r="F6001" s="294"/>
      <c r="G6001" s="1563" t="s">
        <v>4762</v>
      </c>
      <c r="H6001" s="360" t="s">
        <v>4726</v>
      </c>
      <c r="I6001" s="309"/>
      <c r="J6001" s="388"/>
      <c r="K6001" s="291"/>
      <c r="L6001" s="291"/>
      <c r="M6001" s="291"/>
      <c r="S6001" s="364"/>
      <c r="Z6001" s="609">
        <v>7161</v>
      </c>
      <c r="AA6001" s="609"/>
    </row>
    <row r="6002" spans="1:27" ht="17">
      <c r="A6002" s="2714"/>
      <c r="B6002" s="371">
        <v>104</v>
      </c>
      <c r="C6002" s="371" t="s">
        <v>2791</v>
      </c>
      <c r="D6002" s="2716">
        <f t="shared" si="636"/>
        <v>1</v>
      </c>
      <c r="E6002" s="2721">
        <v>1</v>
      </c>
      <c r="F6002" s="294"/>
      <c r="G6002" s="1563" t="s">
        <v>4729</v>
      </c>
      <c r="H6002" s="360" t="s">
        <v>4726</v>
      </c>
      <c r="I6002" s="309"/>
      <c r="J6002" s="388"/>
      <c r="K6002" s="291"/>
      <c r="L6002" s="291"/>
      <c r="M6002" s="291"/>
      <c r="S6002" s="364"/>
      <c r="Z6002" s="609">
        <v>7161</v>
      </c>
      <c r="AA6002" s="609"/>
    </row>
    <row r="6003" spans="1:27" ht="17">
      <c r="A6003" s="2714"/>
      <c r="B6003" s="371">
        <v>105</v>
      </c>
      <c r="C6003" s="371" t="s">
        <v>2791</v>
      </c>
      <c r="D6003" s="2716">
        <f t="shared" si="636"/>
        <v>0</v>
      </c>
      <c r="E6003" s="2721">
        <v>1</v>
      </c>
      <c r="F6003" s="294"/>
      <c r="G6003" s="1563" t="s">
        <v>2792</v>
      </c>
      <c r="H6003" s="360"/>
      <c r="I6003" s="309"/>
      <c r="J6003" s="388"/>
      <c r="K6003" s="291"/>
      <c r="L6003" s="291"/>
      <c r="M6003" s="291"/>
      <c r="S6003" s="364"/>
      <c r="Z6003" s="609">
        <v>7161</v>
      </c>
      <c r="AA6003" s="609"/>
    </row>
    <row r="6004" spans="1:27" ht="17.5" thickBot="1">
      <c r="A6004" s="2714"/>
      <c r="B6004" s="371"/>
      <c r="C6004" s="371"/>
      <c r="D6004" s="2716">
        <f t="shared" si="636"/>
        <v>1</v>
      </c>
      <c r="E6004" s="2721" t="s">
        <v>2751</v>
      </c>
      <c r="F6004" s="294"/>
      <c r="G6004" s="1529" t="s">
        <v>2752</v>
      </c>
      <c r="H6004" s="1570"/>
      <c r="I6004" s="1527">
        <f>SUMPRODUCT($E5998:$E6003,I5998:I6003)</f>
        <v>0</v>
      </c>
      <c r="J6004" s="1571"/>
      <c r="K6004" s="291"/>
      <c r="L6004" s="291"/>
      <c r="M6004" s="291"/>
      <c r="S6004" s="364"/>
      <c r="Z6004" s="609">
        <v>7161</v>
      </c>
      <c r="AA6004" s="609"/>
    </row>
    <row r="6005" spans="1:27" ht="17">
      <c r="A6005" s="2714"/>
      <c r="B6005" s="371"/>
      <c r="C6005" s="371" t="s">
        <v>2755</v>
      </c>
      <c r="D6005" s="371"/>
      <c r="F6005" s="294"/>
      <c r="G6005" s="301"/>
      <c r="H6005" s="393"/>
      <c r="I6005" s="315"/>
      <c r="J6005" s="393"/>
      <c r="K6005" s="291"/>
      <c r="L6005" s="291"/>
      <c r="M6005" s="291"/>
      <c r="S6005" s="364"/>
      <c r="Z6005" s="609">
        <v>7161</v>
      </c>
      <c r="AA6005" s="609"/>
    </row>
    <row r="6006" spans="1:27" ht="17">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6">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t="str">
        <f>IF(ROUND(K6006-K6007,2)=0,"F/S",ROUND(K6006-K6007,2))</f>
        <v>F/S</v>
      </c>
      <c r="M6007" s="532" t="s">
        <v>4713</v>
      </c>
      <c r="N6007" s="3084"/>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7">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7">
      <c r="A6010" s="2714"/>
      <c r="B6010" s="371">
        <v>101</v>
      </c>
      <c r="C6010" s="371" t="s">
        <v>2791</v>
      </c>
      <c r="D6010" s="2716">
        <f t="shared" ref="D6010:D6016" si="637">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26">
      <c r="A6011" s="2714"/>
      <c r="B6011" s="371">
        <v>102</v>
      </c>
      <c r="C6011" s="371" t="s">
        <v>2791</v>
      </c>
      <c r="D6011" s="2716">
        <f t="shared" si="637"/>
        <v>1</v>
      </c>
      <c r="E6011" s="2721">
        <v>1</v>
      </c>
      <c r="F6011" s="294"/>
      <c r="G6011" s="1563" t="s">
        <v>4765</v>
      </c>
      <c r="H6011" s="360" t="s">
        <v>4726</v>
      </c>
      <c r="I6011" s="309"/>
      <c r="J6011" s="388"/>
      <c r="K6011" s="291"/>
      <c r="L6011" s="291"/>
      <c r="M6011" s="291"/>
      <c r="S6011" s="364"/>
      <c r="Z6011" s="609">
        <v>7211</v>
      </c>
      <c r="AA6011" s="609"/>
    </row>
    <row r="6012" spans="1:27" ht="17">
      <c r="A6012" s="2714"/>
      <c r="B6012" s="371">
        <v>103</v>
      </c>
      <c r="C6012" s="371" t="s">
        <v>2791</v>
      </c>
      <c r="D6012" s="2716">
        <f t="shared" si="637"/>
        <v>1</v>
      </c>
      <c r="E6012" s="2721">
        <v>1</v>
      </c>
      <c r="F6012" s="294"/>
      <c r="G6012" s="1563" t="s">
        <v>4766</v>
      </c>
      <c r="H6012" s="360" t="s">
        <v>4726</v>
      </c>
      <c r="I6012" s="309"/>
      <c r="J6012" s="388"/>
      <c r="K6012" s="291"/>
      <c r="L6012" s="291"/>
      <c r="M6012" s="291"/>
      <c r="S6012" s="364"/>
      <c r="Z6012" s="609">
        <v>7211</v>
      </c>
      <c r="AA6012" s="609"/>
    </row>
    <row r="6013" spans="1:27" ht="17">
      <c r="A6013" s="2714"/>
      <c r="B6013" s="371">
        <v>104</v>
      </c>
      <c r="C6013" s="371" t="s">
        <v>2791</v>
      </c>
      <c r="D6013" s="2716">
        <f t="shared" si="637"/>
        <v>1</v>
      </c>
      <c r="E6013" s="2721">
        <v>1</v>
      </c>
      <c r="F6013" s="294"/>
      <c r="G6013" s="1563" t="s">
        <v>4767</v>
      </c>
      <c r="H6013" s="360" t="s">
        <v>4726</v>
      </c>
      <c r="I6013" s="309"/>
      <c r="J6013" s="388"/>
      <c r="K6013" s="291"/>
      <c r="L6013" s="291"/>
      <c r="M6013" s="291"/>
      <c r="S6013" s="364"/>
      <c r="Z6013" s="609">
        <v>7211</v>
      </c>
      <c r="AA6013" s="609"/>
    </row>
    <row r="6014" spans="1:27" ht="26">
      <c r="A6014" s="2714"/>
      <c r="B6014" s="371">
        <v>105</v>
      </c>
      <c r="C6014" s="371" t="s">
        <v>2791</v>
      </c>
      <c r="D6014" s="2716">
        <f t="shared" si="637"/>
        <v>1</v>
      </c>
      <c r="E6014" s="2721">
        <v>1</v>
      </c>
      <c r="F6014" s="294"/>
      <c r="G6014" s="1563" t="s">
        <v>4768</v>
      </c>
      <c r="H6014" s="360" t="s">
        <v>4726</v>
      </c>
      <c r="I6014" s="309"/>
      <c r="J6014" s="388"/>
      <c r="K6014" s="291"/>
      <c r="L6014" s="291"/>
      <c r="M6014" s="291"/>
      <c r="S6014" s="364"/>
      <c r="Z6014" s="609">
        <v>7211</v>
      </c>
      <c r="AA6014" s="609"/>
    </row>
    <row r="6015" spans="1:27" ht="17">
      <c r="A6015" s="2714"/>
      <c r="B6015" s="371">
        <v>106</v>
      </c>
      <c r="C6015" s="371" t="s">
        <v>2791</v>
      </c>
      <c r="D6015" s="2716">
        <f t="shared" si="637"/>
        <v>0</v>
      </c>
      <c r="E6015" s="2721">
        <v>1</v>
      </c>
      <c r="F6015" s="294"/>
      <c r="G6015" s="1563" t="s">
        <v>2792</v>
      </c>
      <c r="H6015" s="360"/>
      <c r="I6015" s="309"/>
      <c r="J6015" s="388"/>
      <c r="K6015" s="291"/>
      <c r="L6015" s="291"/>
      <c r="M6015" s="291"/>
      <c r="S6015" s="364"/>
      <c r="Z6015" s="609">
        <v>7211</v>
      </c>
      <c r="AA6015" s="609"/>
    </row>
    <row r="6016" spans="1:27" ht="17.5" thickBot="1">
      <c r="A6016" s="2714"/>
      <c r="B6016" s="371"/>
      <c r="C6016" s="371"/>
      <c r="D6016" s="2716">
        <f t="shared" si="637"/>
        <v>1</v>
      </c>
      <c r="E6016" s="2721" t="s">
        <v>2751</v>
      </c>
      <c r="F6016" s="294"/>
      <c r="G6016" s="1529" t="s">
        <v>2752</v>
      </c>
      <c r="H6016" s="1570"/>
      <c r="I6016" s="1527">
        <f>SUMPRODUCT($E6009:$E6015,I6009:I6015)</f>
        <v>0</v>
      </c>
      <c r="J6016" s="1571"/>
      <c r="K6016" s="291"/>
      <c r="L6016" s="291"/>
      <c r="M6016" s="291"/>
      <c r="S6016" s="364"/>
      <c r="Z6016" s="609">
        <v>7211</v>
      </c>
      <c r="AA6016" s="609"/>
    </row>
    <row r="6017" spans="1:27" ht="17">
      <c r="A6017" s="2714"/>
      <c r="B6017" s="371"/>
      <c r="C6017" s="371" t="s">
        <v>2755</v>
      </c>
      <c r="D6017" s="371"/>
      <c r="F6017" s="294"/>
      <c r="G6017" s="301"/>
      <c r="H6017" s="393"/>
      <c r="I6017" s="315"/>
      <c r="J6017" s="393"/>
      <c r="K6017" s="291"/>
      <c r="L6017" s="291"/>
      <c r="M6017" s="291"/>
      <c r="S6017" s="364"/>
      <c r="Z6017" s="609">
        <v>7211</v>
      </c>
      <c r="AA6017" s="609"/>
    </row>
    <row r="6018" spans="1:27" ht="17">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6">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t="str">
        <f>IF(ROUND(K6018-K6019,2)=0,"F/S",ROUND(K6018-K6019,2))</f>
        <v>F/S</v>
      </c>
      <c r="M6019" s="532" t="s">
        <v>4713</v>
      </c>
      <c r="N6019" s="3084"/>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7">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7">
      <c r="A6022" s="2714"/>
      <c r="B6022" s="371">
        <v>101</v>
      </c>
      <c r="C6022" s="371" t="s">
        <v>2791</v>
      </c>
      <c r="D6022" s="2716">
        <f t="shared" ref="D6022:D6028" si="638">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26">
      <c r="A6023" s="2714"/>
      <c r="B6023" s="371">
        <v>102</v>
      </c>
      <c r="C6023" s="371" t="s">
        <v>2791</v>
      </c>
      <c r="D6023" s="2716">
        <f t="shared" si="638"/>
        <v>1</v>
      </c>
      <c r="E6023" s="2721">
        <v>1</v>
      </c>
      <c r="F6023" s="294"/>
      <c r="G6023" s="1563" t="s">
        <v>4771</v>
      </c>
      <c r="H6023" s="360" t="s">
        <v>4726</v>
      </c>
      <c r="I6023" s="309"/>
      <c r="J6023" s="388"/>
      <c r="K6023" s="291"/>
      <c r="L6023" s="291"/>
      <c r="M6023" s="291"/>
      <c r="S6023" s="364"/>
      <c r="Z6023" s="609">
        <v>7251</v>
      </c>
      <c r="AA6023" s="609"/>
    </row>
    <row r="6024" spans="1:27" ht="17">
      <c r="A6024" s="2714"/>
      <c r="B6024" s="371">
        <v>103</v>
      </c>
      <c r="C6024" s="371" t="s">
        <v>2791</v>
      </c>
      <c r="D6024" s="2716">
        <f t="shared" si="638"/>
        <v>1</v>
      </c>
      <c r="E6024" s="2721">
        <v>1</v>
      </c>
      <c r="F6024" s="294"/>
      <c r="G6024" s="1563" t="s">
        <v>4772</v>
      </c>
      <c r="H6024" s="360" t="s">
        <v>4726</v>
      </c>
      <c r="I6024" s="309"/>
      <c r="J6024" s="388"/>
      <c r="K6024" s="291"/>
      <c r="L6024" s="291"/>
      <c r="M6024" s="291"/>
      <c r="S6024" s="364"/>
      <c r="Z6024" s="609">
        <v>7251</v>
      </c>
      <c r="AA6024" s="609"/>
    </row>
    <row r="6025" spans="1:27" ht="17">
      <c r="A6025" s="2714"/>
      <c r="B6025" s="371">
        <v>104</v>
      </c>
      <c r="C6025" s="371" t="s">
        <v>2791</v>
      </c>
      <c r="D6025" s="2716">
        <f t="shared" si="638"/>
        <v>1</v>
      </c>
      <c r="E6025" s="2721">
        <v>1</v>
      </c>
      <c r="F6025" s="294"/>
      <c r="G6025" s="1563" t="s">
        <v>4773</v>
      </c>
      <c r="H6025" s="360" t="s">
        <v>4726</v>
      </c>
      <c r="I6025" s="309"/>
      <c r="J6025" s="388"/>
      <c r="K6025" s="291"/>
      <c r="L6025" s="291"/>
      <c r="M6025" s="291"/>
      <c r="S6025" s="364"/>
      <c r="Z6025" s="609">
        <v>7251</v>
      </c>
      <c r="AA6025" s="609"/>
    </row>
    <row r="6026" spans="1:27" ht="26">
      <c r="A6026" s="2714"/>
      <c r="B6026" s="371">
        <v>105</v>
      </c>
      <c r="C6026" s="371" t="s">
        <v>2791</v>
      </c>
      <c r="D6026" s="2716">
        <f t="shared" si="638"/>
        <v>1</v>
      </c>
      <c r="E6026" s="2721">
        <v>1</v>
      </c>
      <c r="F6026" s="294"/>
      <c r="G6026" s="1563" t="s">
        <v>4774</v>
      </c>
      <c r="H6026" s="360" t="s">
        <v>4726</v>
      </c>
      <c r="I6026" s="309"/>
      <c r="J6026" s="388"/>
      <c r="K6026" s="291"/>
      <c r="L6026" s="291"/>
      <c r="M6026" s="291"/>
      <c r="S6026" s="364"/>
      <c r="Z6026" s="609">
        <v>7251</v>
      </c>
      <c r="AA6026" s="609"/>
    </row>
    <row r="6027" spans="1:27" ht="17">
      <c r="A6027" s="2714"/>
      <c r="B6027" s="371">
        <v>106</v>
      </c>
      <c r="C6027" s="371" t="s">
        <v>2791</v>
      </c>
      <c r="D6027" s="2716">
        <f t="shared" si="638"/>
        <v>0</v>
      </c>
      <c r="E6027" s="2721">
        <v>1</v>
      </c>
      <c r="F6027" s="294"/>
      <c r="G6027" s="1563" t="s">
        <v>2792</v>
      </c>
      <c r="H6027" s="360"/>
      <c r="I6027" s="309"/>
      <c r="J6027" s="388"/>
      <c r="K6027" s="291"/>
      <c r="L6027" s="291"/>
      <c r="M6027" s="291"/>
      <c r="S6027" s="364"/>
      <c r="Z6027" s="609">
        <v>7251</v>
      </c>
      <c r="AA6027" s="609"/>
    </row>
    <row r="6028" spans="1:27" ht="17.5" thickBot="1">
      <c r="A6028" s="2714"/>
      <c r="B6028" s="371"/>
      <c r="C6028" s="371"/>
      <c r="D6028" s="2716">
        <f t="shared" si="638"/>
        <v>1</v>
      </c>
      <c r="E6028" s="2721" t="s">
        <v>2751</v>
      </c>
      <c r="F6028" s="294"/>
      <c r="G6028" s="1529" t="s">
        <v>2752</v>
      </c>
      <c r="H6028" s="1570"/>
      <c r="I6028" s="1527">
        <f>SUMPRODUCT($E6021:$E6027,I6021:I6027)</f>
        <v>0</v>
      </c>
      <c r="J6028" s="1571"/>
      <c r="K6028" s="291"/>
      <c r="L6028" s="291"/>
      <c r="M6028" s="291"/>
      <c r="S6028" s="364"/>
      <c r="Z6028" s="609">
        <v>7251</v>
      </c>
      <c r="AA6028" s="609"/>
    </row>
    <row r="6029" spans="1:27" ht="17">
      <c r="A6029" s="2714"/>
      <c r="B6029" s="371"/>
      <c r="C6029" s="371" t="s">
        <v>2755</v>
      </c>
      <c r="D6029" s="371"/>
      <c r="F6029" s="294"/>
      <c r="G6029" s="301"/>
      <c r="H6029" s="393"/>
      <c r="I6029" s="315"/>
      <c r="J6029" s="393"/>
      <c r="K6029" s="291"/>
      <c r="L6029" s="291"/>
      <c r="M6029" s="291"/>
      <c r="S6029" s="364"/>
      <c r="Z6029" s="609">
        <v>7251</v>
      </c>
      <c r="AA6029" s="609"/>
    </row>
    <row r="6030" spans="1:27" ht="17">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6">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t="str">
        <f>IF(ROUND(K6030-K6031,2)=0,"F/S",ROUND(K6030-K6031,2))</f>
        <v>F/S</v>
      </c>
      <c r="M6031" s="532" t="s">
        <v>4713</v>
      </c>
      <c r="N6031" s="3084"/>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7">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7">
      <c r="A6034" s="2714"/>
      <c r="B6034" s="371">
        <v>101</v>
      </c>
      <c r="C6034" s="371" t="s">
        <v>2791</v>
      </c>
      <c r="D6034" s="2716">
        <f t="shared" ref="D6034:D6050" si="639">IF(OR(G6034="*",G6034="",G6034=0),0,COUNTIF($G$6034:$G$6050,G6034))</f>
        <v>1</v>
      </c>
      <c r="E6034" s="2721">
        <v>0</v>
      </c>
      <c r="F6034" s="294"/>
      <c r="G6034" s="1563" t="s">
        <v>4776</v>
      </c>
      <c r="H6034" s="360"/>
      <c r="I6034" s="309"/>
      <c r="J6034" s="388"/>
      <c r="K6034" s="291"/>
      <c r="L6034" s="291"/>
      <c r="M6034" s="291"/>
      <c r="S6034" s="364"/>
      <c r="Z6034" s="609">
        <v>7261</v>
      </c>
      <c r="AA6034" s="609"/>
    </row>
    <row r="6035" spans="1:27" ht="17">
      <c r="A6035" s="2714"/>
      <c r="B6035" s="371">
        <v>102</v>
      </c>
      <c r="C6035" s="371" t="s">
        <v>2791</v>
      </c>
      <c r="D6035" s="2716">
        <f t="shared" si="639"/>
        <v>1</v>
      </c>
      <c r="E6035" s="2721">
        <v>0</v>
      </c>
      <c r="F6035" s="294"/>
      <c r="G6035" s="1563" t="s">
        <v>4777</v>
      </c>
      <c r="H6035" s="360"/>
      <c r="I6035" s="309"/>
      <c r="J6035" s="388"/>
      <c r="K6035" s="291"/>
      <c r="L6035" s="291"/>
      <c r="M6035" s="291"/>
      <c r="S6035" s="364"/>
      <c r="Z6035" s="609">
        <v>7261</v>
      </c>
      <c r="AA6035" s="609"/>
    </row>
    <row r="6036" spans="1:27" ht="17">
      <c r="A6036" s="2714"/>
      <c r="B6036" s="371">
        <v>103</v>
      </c>
      <c r="C6036" s="371" t="s">
        <v>2791</v>
      </c>
      <c r="D6036" s="2716">
        <f t="shared" si="639"/>
        <v>1</v>
      </c>
      <c r="E6036" s="2721">
        <v>1</v>
      </c>
      <c r="F6036" s="294"/>
      <c r="G6036" s="1521" t="s">
        <v>4778</v>
      </c>
      <c r="H6036" s="360" t="s">
        <v>4726</v>
      </c>
      <c r="I6036" s="1476">
        <f>I6034-I6035</f>
        <v>0</v>
      </c>
      <c r="J6036" s="388"/>
      <c r="K6036" s="291"/>
      <c r="L6036" s="291"/>
      <c r="M6036" s="291"/>
      <c r="S6036" s="364"/>
      <c r="Z6036" s="609">
        <v>7261</v>
      </c>
      <c r="AA6036" s="609"/>
    </row>
    <row r="6037" spans="1:27" ht="17">
      <c r="A6037" s="2714"/>
      <c r="B6037" s="371">
        <v>104</v>
      </c>
      <c r="C6037" s="371" t="s">
        <v>2791</v>
      </c>
      <c r="D6037" s="2716">
        <f t="shared" si="639"/>
        <v>1</v>
      </c>
      <c r="E6037" s="2721">
        <v>0</v>
      </c>
      <c r="F6037" s="294"/>
      <c r="G6037" s="1563" t="s">
        <v>4779</v>
      </c>
      <c r="H6037" s="360"/>
      <c r="I6037" s="309"/>
      <c r="J6037" s="388"/>
      <c r="K6037" s="291"/>
      <c r="L6037" s="291"/>
      <c r="M6037" s="291"/>
      <c r="S6037" s="364"/>
      <c r="Z6037" s="609">
        <v>7261</v>
      </c>
      <c r="AA6037" s="609"/>
    </row>
    <row r="6038" spans="1:27" ht="17">
      <c r="A6038" s="2714"/>
      <c r="B6038" s="371">
        <v>105</v>
      </c>
      <c r="C6038" s="371" t="s">
        <v>2791</v>
      </c>
      <c r="D6038" s="2716">
        <f t="shared" si="639"/>
        <v>1</v>
      </c>
      <c r="E6038" s="2721">
        <v>0</v>
      </c>
      <c r="F6038" s="294"/>
      <c r="G6038" s="1563" t="s">
        <v>4780</v>
      </c>
      <c r="H6038" s="360"/>
      <c r="I6038" s="309"/>
      <c r="J6038" s="388"/>
      <c r="K6038" s="291"/>
      <c r="L6038" s="291"/>
      <c r="M6038" s="291"/>
      <c r="S6038" s="364"/>
      <c r="Z6038" s="609">
        <v>7261</v>
      </c>
      <c r="AA6038" s="609"/>
    </row>
    <row r="6039" spans="1:27" ht="17">
      <c r="A6039" s="2714"/>
      <c r="B6039" s="371">
        <v>106</v>
      </c>
      <c r="C6039" s="371" t="s">
        <v>2791</v>
      </c>
      <c r="D6039" s="2716">
        <f t="shared" si="639"/>
        <v>1</v>
      </c>
      <c r="E6039" s="2721">
        <v>1</v>
      </c>
      <c r="F6039" s="294"/>
      <c r="G6039" s="1521" t="s">
        <v>4781</v>
      </c>
      <c r="H6039" s="360" t="s">
        <v>4726</v>
      </c>
      <c r="I6039" s="1476">
        <f>I6037-I6038</f>
        <v>0</v>
      </c>
      <c r="J6039" s="388"/>
      <c r="K6039" s="291"/>
      <c r="L6039" s="291"/>
      <c r="M6039" s="291"/>
      <c r="S6039" s="364"/>
      <c r="Z6039" s="609">
        <v>7261</v>
      </c>
      <c r="AA6039" s="609"/>
    </row>
    <row r="6040" spans="1:27" ht="17">
      <c r="A6040" s="2714"/>
      <c r="B6040" s="371">
        <v>107</v>
      </c>
      <c r="C6040" s="371" t="s">
        <v>2791</v>
      </c>
      <c r="D6040" s="2716">
        <f t="shared" si="639"/>
        <v>1</v>
      </c>
      <c r="E6040" s="2721">
        <v>1</v>
      </c>
      <c r="F6040" s="294"/>
      <c r="G6040" s="1563" t="s">
        <v>4782</v>
      </c>
      <c r="H6040" s="360" t="s">
        <v>4726</v>
      </c>
      <c r="I6040" s="309"/>
      <c r="J6040" s="388"/>
      <c r="K6040" s="291"/>
      <c r="L6040" s="291"/>
      <c r="M6040" s="291"/>
      <c r="S6040" s="364"/>
      <c r="Z6040" s="609">
        <v>7261</v>
      </c>
      <c r="AA6040" s="609"/>
    </row>
    <row r="6041" spans="1:27" ht="26">
      <c r="A6041" s="2714"/>
      <c r="B6041" s="371">
        <v>108</v>
      </c>
      <c r="C6041" s="371" t="s">
        <v>2791</v>
      </c>
      <c r="D6041" s="2716">
        <f t="shared" si="639"/>
        <v>1</v>
      </c>
      <c r="E6041" s="2721">
        <v>0</v>
      </c>
      <c r="F6041" s="294"/>
      <c r="G6041" s="1563" t="s">
        <v>4783</v>
      </c>
      <c r="H6041" s="360"/>
      <c r="I6041" s="309"/>
      <c r="J6041" s="388"/>
      <c r="K6041" s="291"/>
      <c r="L6041" s="291"/>
      <c r="M6041" s="291"/>
      <c r="S6041" s="364"/>
      <c r="Z6041" s="609">
        <v>7261</v>
      </c>
      <c r="AA6041" s="609"/>
    </row>
    <row r="6042" spans="1:27" ht="26">
      <c r="A6042" s="2714"/>
      <c r="B6042" s="371">
        <v>109</v>
      </c>
      <c r="C6042" s="371" t="s">
        <v>2791</v>
      </c>
      <c r="D6042" s="2716">
        <f t="shared" si="639"/>
        <v>1</v>
      </c>
      <c r="E6042" s="2721">
        <v>0</v>
      </c>
      <c r="F6042" s="294"/>
      <c r="G6042" s="1563" t="s">
        <v>4784</v>
      </c>
      <c r="H6042" s="360"/>
      <c r="I6042" s="309"/>
      <c r="J6042" s="388"/>
      <c r="K6042" s="291"/>
      <c r="L6042" s="291"/>
      <c r="M6042" s="291"/>
      <c r="S6042" s="364"/>
      <c r="Z6042" s="609">
        <v>7261</v>
      </c>
      <c r="AA6042" s="609"/>
    </row>
    <row r="6043" spans="1:27" ht="26">
      <c r="A6043" s="2714"/>
      <c r="B6043" s="371">
        <v>110</v>
      </c>
      <c r="C6043" s="371" t="s">
        <v>2791</v>
      </c>
      <c r="D6043" s="2716">
        <f t="shared" si="639"/>
        <v>1</v>
      </c>
      <c r="E6043" s="2721">
        <v>1</v>
      </c>
      <c r="F6043" s="294"/>
      <c r="G6043" s="1521" t="s">
        <v>4785</v>
      </c>
      <c r="H6043" s="360" t="s">
        <v>4726</v>
      </c>
      <c r="I6043" s="1476">
        <f>I6041-I6042</f>
        <v>0</v>
      </c>
      <c r="J6043" s="388"/>
      <c r="K6043" s="291"/>
      <c r="L6043" s="291"/>
      <c r="M6043" s="291"/>
      <c r="S6043" s="364"/>
      <c r="Z6043" s="609">
        <v>7261</v>
      </c>
      <c r="AA6043" s="609"/>
    </row>
    <row r="6044" spans="1:27" ht="17">
      <c r="A6044" s="2714"/>
      <c r="B6044" s="371">
        <v>111</v>
      </c>
      <c r="C6044" s="371" t="s">
        <v>2791</v>
      </c>
      <c r="D6044" s="2716">
        <f t="shared" si="639"/>
        <v>1</v>
      </c>
      <c r="E6044" s="2721">
        <v>1</v>
      </c>
      <c r="F6044" s="294"/>
      <c r="G6044" s="1563" t="s">
        <v>4786</v>
      </c>
      <c r="H6044" s="360" t="s">
        <v>4726</v>
      </c>
      <c r="I6044" s="309"/>
      <c r="J6044" s="388"/>
      <c r="K6044" s="291"/>
      <c r="L6044" s="291"/>
      <c r="M6044" s="291"/>
      <c r="S6044" s="364"/>
      <c r="Z6044" s="609">
        <v>7261</v>
      </c>
      <c r="AA6044" s="609"/>
    </row>
    <row r="6045" spans="1:27" ht="17">
      <c r="A6045" s="2714"/>
      <c r="B6045" s="371">
        <v>112</v>
      </c>
      <c r="C6045" s="371" t="s">
        <v>2791</v>
      </c>
      <c r="D6045" s="2716">
        <f t="shared" si="639"/>
        <v>1</v>
      </c>
      <c r="E6045" s="2721">
        <v>1</v>
      </c>
      <c r="F6045" s="294"/>
      <c r="G6045" s="1563" t="s">
        <v>4787</v>
      </c>
      <c r="H6045" s="360" t="s">
        <v>4726</v>
      </c>
      <c r="I6045" s="309"/>
      <c r="J6045" s="388"/>
      <c r="K6045" s="291"/>
      <c r="L6045" s="291"/>
      <c r="M6045" s="291"/>
      <c r="S6045" s="364"/>
      <c r="Z6045" s="609">
        <v>7261</v>
      </c>
      <c r="AA6045" s="609"/>
    </row>
    <row r="6046" spans="1:27" ht="17">
      <c r="A6046" s="2714"/>
      <c r="B6046" s="371">
        <v>113</v>
      </c>
      <c r="C6046" s="371" t="s">
        <v>2791</v>
      </c>
      <c r="D6046" s="2716">
        <f t="shared" si="639"/>
        <v>1</v>
      </c>
      <c r="E6046" s="2721">
        <v>1</v>
      </c>
      <c r="F6046" s="294"/>
      <c r="G6046" s="1563" t="s">
        <v>4788</v>
      </c>
      <c r="H6046" s="360" t="s">
        <v>4726</v>
      </c>
      <c r="I6046" s="309"/>
      <c r="J6046" s="388"/>
      <c r="K6046" s="291"/>
      <c r="L6046" s="291"/>
      <c r="M6046" s="291"/>
      <c r="S6046" s="364"/>
      <c r="Z6046" s="609">
        <v>7261</v>
      </c>
      <c r="AA6046" s="609"/>
    </row>
    <row r="6047" spans="1:27" ht="17">
      <c r="A6047" s="2714"/>
      <c r="B6047" s="371">
        <v>114</v>
      </c>
      <c r="C6047" s="371" t="s">
        <v>2791</v>
      </c>
      <c r="D6047" s="2716">
        <f t="shared" si="639"/>
        <v>1</v>
      </c>
      <c r="E6047" s="2721">
        <v>1</v>
      </c>
      <c r="F6047" s="294"/>
      <c r="G6047" s="1563" t="s">
        <v>4789</v>
      </c>
      <c r="H6047" s="360" t="s">
        <v>4726</v>
      </c>
      <c r="I6047" s="309"/>
      <c r="J6047" s="388"/>
      <c r="K6047" s="291"/>
      <c r="L6047" s="291"/>
      <c r="M6047" s="291"/>
      <c r="S6047" s="364"/>
      <c r="Z6047" s="609">
        <v>7261</v>
      </c>
      <c r="AA6047" s="609"/>
    </row>
    <row r="6048" spans="1:27" ht="17">
      <c r="A6048" s="2714"/>
      <c r="B6048" s="371">
        <v>115</v>
      </c>
      <c r="C6048" s="371" t="s">
        <v>2791</v>
      </c>
      <c r="D6048" s="2716">
        <f t="shared" si="639"/>
        <v>1</v>
      </c>
      <c r="E6048" s="2721">
        <v>1</v>
      </c>
      <c r="F6048" s="294"/>
      <c r="G6048" s="1563" t="s">
        <v>932</v>
      </c>
      <c r="H6048" s="360" t="s">
        <v>4726</v>
      </c>
      <c r="I6048" s="309"/>
      <c r="J6048" s="388"/>
      <c r="K6048" s="291"/>
      <c r="L6048" s="291"/>
      <c r="M6048" s="291"/>
      <c r="S6048" s="364"/>
      <c r="Z6048" s="609">
        <v>7261</v>
      </c>
      <c r="AA6048" s="609"/>
    </row>
    <row r="6049" spans="1:27" ht="17">
      <c r="A6049" s="2714"/>
      <c r="B6049" s="371">
        <v>116</v>
      </c>
      <c r="C6049" s="371" t="s">
        <v>2791</v>
      </c>
      <c r="D6049" s="2716">
        <f t="shared" si="639"/>
        <v>0</v>
      </c>
      <c r="E6049" s="2721">
        <v>1</v>
      </c>
      <c r="F6049" s="294"/>
      <c r="G6049" s="1563" t="s">
        <v>2792</v>
      </c>
      <c r="H6049" s="360"/>
      <c r="I6049" s="309"/>
      <c r="J6049" s="388"/>
      <c r="K6049" s="291"/>
      <c r="L6049" s="291"/>
      <c r="M6049" s="291"/>
      <c r="S6049" s="364"/>
      <c r="Z6049" s="609">
        <v>7261</v>
      </c>
      <c r="AA6049" s="609"/>
    </row>
    <row r="6050" spans="1:27" ht="17.5" thickBot="1">
      <c r="A6050" s="2714"/>
      <c r="B6050" s="371"/>
      <c r="C6050" s="371"/>
      <c r="D6050" s="2716">
        <f t="shared" si="639"/>
        <v>1</v>
      </c>
      <c r="E6050" s="2721" t="s">
        <v>2751</v>
      </c>
      <c r="F6050" s="294"/>
      <c r="G6050" s="1529" t="s">
        <v>2752</v>
      </c>
      <c r="H6050" s="1570"/>
      <c r="I6050" s="1527">
        <f>SUMPRODUCT($E6033:$E6049,I6033:I6049)</f>
        <v>0</v>
      </c>
      <c r="J6050" s="1571"/>
      <c r="K6050" s="291"/>
      <c r="L6050" s="291"/>
      <c r="M6050" s="291"/>
      <c r="S6050" s="364"/>
      <c r="Z6050" s="609">
        <v>7261</v>
      </c>
      <c r="AA6050" s="609"/>
    </row>
    <row r="6051" spans="1:27" ht="17.5" thickBot="1">
      <c r="A6051" s="2714"/>
      <c r="B6051" s="371"/>
      <c r="C6051" s="371" t="s">
        <v>2755</v>
      </c>
      <c r="D6051" s="371"/>
      <c r="F6051" s="294"/>
      <c r="G6051" s="301"/>
      <c r="H6051" s="393"/>
      <c r="I6051" s="315"/>
      <c r="J6051" s="393"/>
      <c r="K6051" s="291"/>
      <c r="L6051" s="291"/>
      <c r="M6051" s="291"/>
      <c r="S6051" s="364"/>
      <c r="Z6051" s="609">
        <v>7261</v>
      </c>
      <c r="AA6051" s="609"/>
    </row>
    <row r="6052" spans="1:27" ht="1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7">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9">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84"/>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7">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7">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7">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7">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7">
      <c r="A6061" s="2714"/>
      <c r="B6061" s="371"/>
      <c r="C6061" s="371" t="s">
        <v>2755</v>
      </c>
      <c r="D6061" s="371"/>
      <c r="F6061" s="294"/>
      <c r="G6061" s="301"/>
      <c r="H6061" s="315"/>
      <c r="I6061" s="393"/>
      <c r="J6061" s="291"/>
      <c r="K6061" s="291"/>
      <c r="L6061" s="291"/>
      <c r="M6061" s="291"/>
      <c r="S6061" s="364"/>
      <c r="Z6061" s="609" t="s">
        <v>2014</v>
      </c>
      <c r="AA6061" s="609"/>
    </row>
    <row r="6062" spans="1:27" ht="17">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52">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t="str">
        <f>IF(ROUND(K6062-K6063,2)=0,"F/S",ROUND(K6062-K6063,2))</f>
        <v>F/S</v>
      </c>
      <c r="M6063" s="532" t="s">
        <v>4713</v>
      </c>
      <c r="N6063" s="3084"/>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7">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7">
      <c r="A6066" s="2714"/>
      <c r="B6066" s="371">
        <v>101</v>
      </c>
      <c r="C6066" s="371"/>
      <c r="D6066" s="2716">
        <f t="shared" ref="D6066:D6071" si="640">IF(OR(G6066="*",G6066="",G6066=0),0,COUNTIF($G$6066:$G$6071,G6066))</f>
        <v>1</v>
      </c>
      <c r="E6066" s="2721">
        <v>1</v>
      </c>
      <c r="F6066" s="294"/>
      <c r="G6066" s="308" t="s">
        <v>4793</v>
      </c>
      <c r="H6066" s="309"/>
      <c r="I6066" s="388"/>
      <c r="J6066" s="291"/>
      <c r="K6066" s="291"/>
      <c r="L6066" s="291"/>
      <c r="M6066" s="291"/>
      <c r="S6066" s="364"/>
      <c r="Z6066" s="609" t="s">
        <v>2017</v>
      </c>
      <c r="AA6066" s="609"/>
    </row>
    <row r="6067" spans="1:27" ht="17">
      <c r="A6067" s="2714"/>
      <c r="B6067" s="371">
        <v>102</v>
      </c>
      <c r="C6067" s="371"/>
      <c r="D6067" s="2716">
        <f t="shared" si="640"/>
        <v>1</v>
      </c>
      <c r="E6067" s="2721">
        <v>1</v>
      </c>
      <c r="F6067" s="294"/>
      <c r="G6067" s="308" t="s">
        <v>4794</v>
      </c>
      <c r="H6067" s="309"/>
      <c r="I6067" s="388"/>
      <c r="J6067" s="291"/>
      <c r="K6067" s="291"/>
      <c r="L6067" s="291"/>
      <c r="M6067" s="291"/>
      <c r="S6067" s="364"/>
      <c r="Z6067" s="609" t="s">
        <v>2017</v>
      </c>
      <c r="AA6067" s="609"/>
    </row>
    <row r="6068" spans="1:27" ht="26">
      <c r="A6068" s="2714"/>
      <c r="B6068" s="371">
        <v>103</v>
      </c>
      <c r="C6068" s="371"/>
      <c r="D6068" s="2716">
        <f t="shared" si="640"/>
        <v>1</v>
      </c>
      <c r="E6068" s="2721">
        <v>1</v>
      </c>
      <c r="F6068" s="294"/>
      <c r="G6068" s="308" t="s">
        <v>4795</v>
      </c>
      <c r="H6068" s="309"/>
      <c r="I6068" s="388"/>
      <c r="J6068" s="291"/>
      <c r="K6068" s="291"/>
      <c r="L6068" s="291"/>
      <c r="M6068" s="291"/>
      <c r="S6068" s="364"/>
      <c r="Z6068" s="609" t="s">
        <v>2017</v>
      </c>
      <c r="AA6068" s="609"/>
    </row>
    <row r="6069" spans="1:27" ht="17">
      <c r="A6069" s="2714"/>
      <c r="B6069" s="371">
        <v>104</v>
      </c>
      <c r="C6069" s="371" t="s">
        <v>2791</v>
      </c>
      <c r="D6069" s="2716">
        <f t="shared" si="640"/>
        <v>0</v>
      </c>
      <c r="E6069" s="2721">
        <v>1</v>
      </c>
      <c r="F6069" s="294"/>
      <c r="G6069" s="1563" t="s">
        <v>2792</v>
      </c>
      <c r="H6069" s="309"/>
      <c r="I6069" s="388"/>
      <c r="J6069" s="291"/>
      <c r="K6069" s="291"/>
      <c r="L6069" s="291"/>
      <c r="M6069" s="291"/>
      <c r="S6069" s="364"/>
      <c r="Z6069" s="609" t="s">
        <v>2017</v>
      </c>
      <c r="AA6069" s="609"/>
    </row>
    <row r="6070" spans="1:27" ht="17">
      <c r="A6070" s="2714"/>
      <c r="B6070" s="371">
        <v>105</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7.5" thickBot="1">
      <c r="A6071" s="2714"/>
      <c r="B6071" s="371"/>
      <c r="C6071" s="371"/>
      <c r="D6071" s="2716">
        <f t="shared" si="640"/>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7">
      <c r="A6072" s="2714"/>
      <c r="B6072" s="371"/>
      <c r="C6072" s="371" t="s">
        <v>2755</v>
      </c>
      <c r="D6072" s="371"/>
      <c r="F6072" s="294"/>
      <c r="G6072" s="301"/>
      <c r="H6072" s="315"/>
      <c r="I6072" s="393"/>
      <c r="J6072" s="291"/>
      <c r="K6072" s="291"/>
      <c r="L6072" s="291"/>
      <c r="M6072" s="291"/>
      <c r="S6072" s="364"/>
      <c r="Z6072" s="609" t="s">
        <v>2017</v>
      </c>
      <c r="AA6072" s="609"/>
    </row>
    <row r="6073" spans="1:27" ht="17">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6">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t="str">
        <f>IF(ROUND(K6073-K6074,2)=0,"F/S",ROUND(K6073-K6074,2))</f>
        <v>F/S</v>
      </c>
      <c r="M6074" s="532" t="s">
        <v>4713</v>
      </c>
      <c r="N6074" s="3084"/>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7">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7">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7">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7">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7">
      <c r="A6081" s="2714"/>
      <c r="B6081" s="371"/>
      <c r="C6081" s="371" t="s">
        <v>2755</v>
      </c>
      <c r="D6081" s="371"/>
      <c r="F6081" s="294"/>
      <c r="G6081" s="301"/>
      <c r="H6081" s="315"/>
      <c r="I6081" s="393"/>
      <c r="J6081" s="291"/>
      <c r="K6081" s="291"/>
      <c r="L6081" s="291"/>
      <c r="M6081" s="291"/>
      <c r="S6081" s="364"/>
      <c r="Z6081" s="609" t="s">
        <v>2020</v>
      </c>
      <c r="AA6081" s="609"/>
    </row>
    <row r="6082" spans="1:27" ht="17">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9">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t="str">
        <f>IF(ROUND(K6082-K6083,2)=0,"F/S",ROUND(K6082-K6083,2))</f>
        <v>F/S</v>
      </c>
      <c r="M6083" s="532" t="s">
        <v>4713</v>
      </c>
      <c r="N6083" s="3084"/>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7">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7">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7">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7">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7">
      <c r="A6090" s="2714"/>
      <c r="B6090" s="371"/>
      <c r="C6090" s="371" t="s">
        <v>2755</v>
      </c>
      <c r="D6090" s="371"/>
      <c r="F6090" s="294"/>
      <c r="G6090" s="301"/>
      <c r="H6090" s="315"/>
      <c r="I6090" s="393"/>
      <c r="J6090" s="291"/>
      <c r="K6090" s="291"/>
      <c r="L6090" s="291"/>
      <c r="M6090" s="291"/>
      <c r="S6090" s="364"/>
      <c r="Z6090" s="609" t="s">
        <v>2024</v>
      </c>
      <c r="AA6090" s="609"/>
    </row>
    <row r="6091" spans="1:27" ht="17">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52">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84"/>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7">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7">
      <c r="A6095" s="2714"/>
      <c r="B6095" s="371">
        <v>101</v>
      </c>
      <c r="C6095" s="371" t="s">
        <v>2791</v>
      </c>
      <c r="D6095" s="2716">
        <f t="shared" ref="D6095:D6103" si="641">IF(OR(G6095="*",G6095="",G6095=0),0,COUNTIF($G$6095:$G$6103,G6095))</f>
        <v>0</v>
      </c>
      <c r="E6095" s="2721">
        <v>1</v>
      </c>
      <c r="F6095" s="294"/>
      <c r="G6095" s="1591" t="s">
        <v>2792</v>
      </c>
      <c r="H6095" s="309"/>
      <c r="I6095" s="388"/>
      <c r="J6095" s="291"/>
      <c r="K6095" s="291"/>
      <c r="L6095" s="291"/>
      <c r="M6095" s="291"/>
      <c r="S6095" s="364"/>
      <c r="Z6095" s="609" t="s">
        <v>2028</v>
      </c>
      <c r="AA6095" s="609"/>
    </row>
    <row r="6096" spans="1:27" ht="17">
      <c r="A6096" s="2714"/>
      <c r="B6096" s="371">
        <v>102</v>
      </c>
      <c r="C6096" s="371" t="s">
        <v>2791</v>
      </c>
      <c r="D6096" s="2716">
        <f t="shared" si="641"/>
        <v>0</v>
      </c>
      <c r="E6096" s="2721">
        <v>1</v>
      </c>
      <c r="F6096" s="294"/>
      <c r="G6096" s="1591" t="s">
        <v>2792</v>
      </c>
      <c r="H6096" s="309"/>
      <c r="I6096" s="388"/>
      <c r="J6096" s="291"/>
      <c r="K6096" s="291"/>
      <c r="L6096" s="291"/>
      <c r="M6096" s="291"/>
      <c r="S6096" s="364"/>
      <c r="Z6096" s="609" t="s">
        <v>2028</v>
      </c>
      <c r="AA6096" s="609"/>
    </row>
    <row r="6097" spans="1:27" ht="26">
      <c r="A6097" s="2714"/>
      <c r="B6097" s="371">
        <v>103</v>
      </c>
      <c r="C6097" s="371"/>
      <c r="D6097" s="2716">
        <f t="shared" si="641"/>
        <v>1</v>
      </c>
      <c r="E6097" s="2721">
        <v>-1</v>
      </c>
      <c r="F6097" s="294"/>
      <c r="G6097" s="308" t="s">
        <v>5523</v>
      </c>
      <c r="H6097" s="309"/>
      <c r="I6097" s="388"/>
      <c r="J6097" s="291"/>
      <c r="K6097" s="291"/>
      <c r="L6097" s="291"/>
      <c r="M6097" s="291"/>
      <c r="S6097" s="364"/>
      <c r="Z6097" s="609" t="s">
        <v>2028</v>
      </c>
      <c r="AA6097" s="609"/>
    </row>
    <row r="6098" spans="1:27" ht="26">
      <c r="A6098" s="2714"/>
      <c r="B6098" s="371">
        <v>104</v>
      </c>
      <c r="C6098" s="371"/>
      <c r="D6098" s="2716">
        <f t="shared" si="641"/>
        <v>1</v>
      </c>
      <c r="E6098" s="2721">
        <v>-1</v>
      </c>
      <c r="F6098" s="294"/>
      <c r="G6098" s="308" t="s">
        <v>5521</v>
      </c>
      <c r="H6098" s="309"/>
      <c r="I6098" s="388"/>
      <c r="J6098" s="291"/>
      <c r="K6098" s="291"/>
      <c r="L6098" s="291"/>
      <c r="M6098" s="291"/>
      <c r="S6098" s="364"/>
      <c r="Z6098" s="609" t="s">
        <v>2028</v>
      </c>
      <c r="AA6098" s="609"/>
    </row>
    <row r="6099" spans="1:27" ht="26">
      <c r="A6099" s="2714"/>
      <c r="B6099" s="371">
        <v>105</v>
      </c>
      <c r="C6099" s="371"/>
      <c r="D6099" s="2716">
        <f t="shared" si="641"/>
        <v>1</v>
      </c>
      <c r="E6099" s="2721">
        <v>-1</v>
      </c>
      <c r="F6099" s="294"/>
      <c r="G6099" s="308" t="s">
        <v>5522</v>
      </c>
      <c r="H6099" s="309"/>
      <c r="I6099" s="388"/>
      <c r="J6099" s="291"/>
      <c r="K6099" s="291"/>
      <c r="L6099" s="291"/>
      <c r="M6099" s="291"/>
      <c r="S6099" s="364"/>
      <c r="Z6099" s="609" t="s">
        <v>2028</v>
      </c>
      <c r="AA6099" s="609"/>
    </row>
    <row r="6100" spans="1:27" ht="17">
      <c r="A6100" s="2714"/>
      <c r="B6100" s="371">
        <v>106</v>
      </c>
      <c r="C6100" s="371" t="s">
        <v>2791</v>
      </c>
      <c r="D6100" s="2716">
        <f t="shared" si="641"/>
        <v>0</v>
      </c>
      <c r="E6100" s="2721">
        <v>-1</v>
      </c>
      <c r="F6100" s="294"/>
      <c r="G6100" s="1591" t="s">
        <v>2792</v>
      </c>
      <c r="H6100" s="309"/>
      <c r="I6100" s="388"/>
      <c r="J6100" s="291"/>
      <c r="K6100" s="291"/>
      <c r="L6100" s="291"/>
      <c r="M6100" s="291"/>
      <c r="S6100" s="364"/>
      <c r="Z6100" s="609" t="s">
        <v>2028</v>
      </c>
      <c r="AA6100" s="609"/>
    </row>
    <row r="6101" spans="1:27" ht="17">
      <c r="A6101" s="2714"/>
      <c r="B6101" s="371">
        <v>107</v>
      </c>
      <c r="C6101" s="371" t="s">
        <v>6534</v>
      </c>
      <c r="D6101" s="2716">
        <f t="shared" si="641"/>
        <v>0</v>
      </c>
      <c r="E6101" s="2721">
        <v>-1</v>
      </c>
      <c r="F6101" s="294"/>
      <c r="G6101" s="1591" t="s">
        <v>2792</v>
      </c>
      <c r="H6101" s="309"/>
      <c r="I6101" s="388"/>
      <c r="J6101" s="291"/>
      <c r="K6101" s="291"/>
      <c r="L6101" s="291"/>
      <c r="M6101" s="291"/>
      <c r="S6101" s="364"/>
      <c r="Z6101" s="609" t="s">
        <v>2028</v>
      </c>
      <c r="AA6101" s="609"/>
    </row>
    <row r="6102" spans="1:27" ht="17">
      <c r="A6102" s="2714"/>
      <c r="B6102" s="371">
        <v>108</v>
      </c>
      <c r="C6102" s="371" t="s">
        <v>6534</v>
      </c>
      <c r="D6102" s="2716">
        <f t="shared" si="641"/>
        <v>0</v>
      </c>
      <c r="E6102" s="2721">
        <v>-1</v>
      </c>
      <c r="F6102" s="294"/>
      <c r="G6102" s="1591" t="s">
        <v>2792</v>
      </c>
      <c r="H6102" s="309"/>
      <c r="I6102" s="388"/>
      <c r="J6102" s="291"/>
      <c r="K6102" s="291"/>
      <c r="L6102" s="291"/>
      <c r="M6102" s="291"/>
      <c r="S6102" s="364"/>
      <c r="Z6102" s="609" t="s">
        <v>2028</v>
      </c>
      <c r="AA6102" s="609"/>
    </row>
    <row r="6103" spans="1:27" ht="17.5" thickBot="1">
      <c r="A6103" s="2714"/>
      <c r="B6103" s="371"/>
      <c r="C6103" s="371"/>
      <c r="D6103" s="2716">
        <f t="shared" si="641"/>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7">
      <c r="A6104" s="2714"/>
      <c r="B6104" s="371"/>
      <c r="C6104" s="371" t="s">
        <v>2755</v>
      </c>
      <c r="D6104" s="371"/>
      <c r="F6104" s="294"/>
      <c r="G6104" s="301"/>
      <c r="H6104" s="315"/>
      <c r="I6104" s="393"/>
      <c r="J6104" s="291"/>
      <c r="K6104" s="291"/>
      <c r="L6104" s="291"/>
      <c r="M6104" s="291"/>
      <c r="S6104" s="364"/>
      <c r="Z6104" s="609" t="s">
        <v>2028</v>
      </c>
      <c r="AA6104" s="609"/>
    </row>
    <row r="6105" spans="1:27" ht="17">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9">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t="str">
        <f>IF(ROUND(K6105-K6106,2)=0,"F/S",ROUND(K6105-K6106,2))</f>
        <v>F/S</v>
      </c>
      <c r="M6106" s="532" t="s">
        <v>4713</v>
      </c>
      <c r="N6106" s="3084"/>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7">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6">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7">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6">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7">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7">
      <c r="A6114" s="2714"/>
      <c r="B6114" s="371"/>
      <c r="C6114" s="371" t="s">
        <v>2755</v>
      </c>
      <c r="D6114" s="371"/>
      <c r="F6114" s="294"/>
      <c r="G6114" s="301"/>
      <c r="H6114" s="315"/>
      <c r="I6114" s="393"/>
      <c r="J6114" s="291"/>
      <c r="K6114" s="291"/>
      <c r="L6114" s="291"/>
      <c r="M6114" s="291"/>
      <c r="S6114" s="364"/>
      <c r="Z6114" s="609" t="s">
        <v>2032</v>
      </c>
      <c r="AA6114" s="609"/>
    </row>
    <row r="6115" spans="1:27" ht="17">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9">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84"/>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7">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7">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7">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7">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7">
      <c r="A6123" s="2714"/>
      <c r="B6123" s="371"/>
      <c r="C6123" s="371" t="s">
        <v>2755</v>
      </c>
      <c r="D6123" s="371"/>
      <c r="F6123" s="294"/>
      <c r="G6123" s="301"/>
      <c r="H6123" s="315"/>
      <c r="I6123" s="393"/>
      <c r="J6123" s="291"/>
      <c r="K6123" s="291"/>
      <c r="L6123" s="291"/>
      <c r="M6123" s="291"/>
      <c r="S6123" s="364"/>
      <c r="Z6123" s="609" t="s">
        <v>2037</v>
      </c>
      <c r="AA6123" s="609"/>
    </row>
    <row r="6124" spans="1:27" ht="17">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6">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0</v>
      </c>
      <c r="L6125" s="345" t="str">
        <f>IF(ROUND(K6124-K6125,2)=0,"F/S",ROUND(K6124-K6125,2))</f>
        <v>F/S</v>
      </c>
      <c r="M6125" s="532" t="s">
        <v>4713</v>
      </c>
      <c r="N6125" s="3084"/>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7">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7">
      <c r="A6128" s="2714"/>
      <c r="B6128" s="371">
        <v>101</v>
      </c>
      <c r="C6128" s="371"/>
      <c r="D6128" s="2716">
        <f t="shared" ref="D6128:D6133" si="642">IF(OR(G6128="*",G6128="",G6128=0),0,COUNTIF($G$6128:$G$6133,G6128))</f>
        <v>1</v>
      </c>
      <c r="E6128" s="2721">
        <v>1</v>
      </c>
      <c r="F6128" s="294"/>
      <c r="G6128" s="308" t="s">
        <v>771</v>
      </c>
      <c r="H6128" s="309"/>
      <c r="I6128" s="388"/>
      <c r="J6128" s="291"/>
      <c r="K6128" s="291"/>
      <c r="L6128" s="291"/>
      <c r="M6128" s="291"/>
      <c r="S6128" s="364"/>
      <c r="Z6128" s="609" t="s">
        <v>2040</v>
      </c>
      <c r="AA6128" s="609"/>
    </row>
    <row r="6129" spans="1:27" ht="17">
      <c r="A6129" s="2714"/>
      <c r="B6129" s="371">
        <v>102</v>
      </c>
      <c r="C6129" s="371"/>
      <c r="D6129" s="2716">
        <f t="shared" si="642"/>
        <v>1</v>
      </c>
      <c r="E6129" s="2721">
        <v>-1</v>
      </c>
      <c r="F6129" s="294"/>
      <c r="G6129" s="308" t="s">
        <v>4271</v>
      </c>
      <c r="H6129" s="309"/>
      <c r="I6129" s="388"/>
      <c r="J6129" s="291"/>
      <c r="K6129" s="291"/>
      <c r="L6129" s="291"/>
      <c r="M6129" s="291"/>
      <c r="S6129" s="364"/>
      <c r="Z6129" s="609" t="s">
        <v>2040</v>
      </c>
      <c r="AA6129" s="609"/>
    </row>
    <row r="6130" spans="1:27" ht="26">
      <c r="A6130" s="2714"/>
      <c r="B6130" s="371">
        <v>103</v>
      </c>
      <c r="C6130" s="371"/>
      <c r="D6130" s="2716">
        <f t="shared" si="642"/>
        <v>1</v>
      </c>
      <c r="E6130" s="2721">
        <v>1</v>
      </c>
      <c r="F6130" s="294"/>
      <c r="G6130" s="308" t="s">
        <v>4813</v>
      </c>
      <c r="H6130" s="309"/>
      <c r="I6130" s="388"/>
      <c r="J6130" s="291"/>
      <c r="K6130" s="291"/>
      <c r="L6130" s="291"/>
      <c r="M6130" s="291"/>
      <c r="S6130" s="364"/>
      <c r="Z6130" s="609" t="s">
        <v>2040</v>
      </c>
      <c r="AA6130" s="609"/>
    </row>
    <row r="6131" spans="1:27" ht="26">
      <c r="A6131" s="2714"/>
      <c r="B6131" s="371">
        <v>104</v>
      </c>
      <c r="C6131" s="371"/>
      <c r="D6131" s="2716">
        <f t="shared" si="642"/>
        <v>1</v>
      </c>
      <c r="E6131" s="2721">
        <v>1</v>
      </c>
      <c r="F6131" s="294"/>
      <c r="G6131" s="308" t="s">
        <v>4814</v>
      </c>
      <c r="H6131" s="309"/>
      <c r="I6131" s="388"/>
      <c r="J6131" s="291"/>
      <c r="K6131" s="291"/>
      <c r="L6131" s="291"/>
      <c r="M6131" s="291"/>
      <c r="S6131" s="364"/>
      <c r="Z6131" s="609" t="s">
        <v>2040</v>
      </c>
      <c r="AA6131" s="609"/>
    </row>
    <row r="6132" spans="1:27" ht="17">
      <c r="A6132" s="2714"/>
      <c r="B6132" s="371">
        <v>108</v>
      </c>
      <c r="C6132" s="371" t="s">
        <v>2791</v>
      </c>
      <c r="D6132" s="2716">
        <f t="shared" si="642"/>
        <v>0</v>
      </c>
      <c r="E6132" s="2721">
        <v>1</v>
      </c>
      <c r="F6132" s="294"/>
      <c r="G6132" s="1563" t="s">
        <v>2792</v>
      </c>
      <c r="H6132" s="309"/>
      <c r="I6132" s="388"/>
      <c r="J6132" s="291"/>
      <c r="K6132" s="291"/>
      <c r="L6132" s="291"/>
      <c r="M6132" s="291"/>
      <c r="S6132" s="364"/>
      <c r="Z6132" s="609" t="s">
        <v>2040</v>
      </c>
      <c r="AA6132" s="609"/>
    </row>
    <row r="6133" spans="1:27" ht="17.5" thickBot="1">
      <c r="A6133" s="2714"/>
      <c r="B6133" s="371"/>
      <c r="C6133" s="371"/>
      <c r="D6133" s="2716">
        <f t="shared" si="642"/>
        <v>1</v>
      </c>
      <c r="E6133" s="2721" t="s">
        <v>2751</v>
      </c>
      <c r="F6133" s="294"/>
      <c r="G6133" s="1529" t="s">
        <v>2752</v>
      </c>
      <c r="H6133" s="1527">
        <f>SUMPRODUCT($E6127:$E6132,H6127:H6132)</f>
        <v>0</v>
      </c>
      <c r="I6133" s="1571"/>
      <c r="J6133" s="532"/>
      <c r="K6133" s="291"/>
      <c r="L6133" s="291"/>
      <c r="M6133" s="291"/>
      <c r="S6133" s="364"/>
      <c r="Z6133" s="609" t="s">
        <v>2040</v>
      </c>
      <c r="AA6133" s="609"/>
    </row>
    <row r="6134" spans="1:27" ht="17">
      <c r="A6134" s="2714"/>
      <c r="B6134" s="371"/>
      <c r="C6134" s="371" t="s">
        <v>2755</v>
      </c>
      <c r="D6134" s="371"/>
      <c r="F6134" s="294"/>
      <c r="G6134" s="301"/>
      <c r="H6134" s="315"/>
      <c r="I6134" s="393"/>
      <c r="J6134" s="291"/>
      <c r="K6134" s="291"/>
      <c r="L6134" s="291"/>
      <c r="M6134" s="291"/>
      <c r="S6134" s="364"/>
      <c r="Z6134" s="609" t="s">
        <v>2040</v>
      </c>
      <c r="AA6134" s="609"/>
    </row>
    <row r="6135" spans="1:27" ht="17">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6">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84"/>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7">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7">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7">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7">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7">
      <c r="A6143" s="2714"/>
      <c r="B6143" s="371"/>
      <c r="C6143" s="371" t="s">
        <v>2755</v>
      </c>
      <c r="D6143" s="371"/>
      <c r="F6143" s="294"/>
      <c r="G6143" s="301"/>
      <c r="H6143" s="315"/>
      <c r="I6143" s="393"/>
      <c r="J6143" s="291"/>
      <c r="K6143" s="291"/>
      <c r="L6143" s="291"/>
      <c r="M6143" s="291"/>
      <c r="S6143" s="364"/>
      <c r="Z6143" s="609" t="s">
        <v>2044</v>
      </c>
      <c r="AA6143" s="609"/>
    </row>
    <row r="6144" spans="1:27" ht="17">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9">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t="str">
        <f>IF(ROUND(K6144-K6145,2)=0,"F/S",ROUND(K6144-K6145,2))</f>
        <v>F/S</v>
      </c>
      <c r="M6145" s="532" t="s">
        <v>4713</v>
      </c>
      <c r="N6145" s="3084"/>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7">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7">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7">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7">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7">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7">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9">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84"/>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7">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7">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7">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7">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7">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7">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6">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t="str">
        <f>IF(ROUND(K6162-K6163,2)=0,"F/S",ROUND(K6162-K6163,2))</f>
        <v>F/S</v>
      </c>
      <c r="M6163" s="532" t="s">
        <v>4713</v>
      </c>
      <c r="N6163" s="3084"/>
      <c r="O6163" s="315"/>
      <c r="P6163" s="301"/>
      <c r="S6163" s="364"/>
      <c r="Z6163" s="609" t="s">
        <v>2053</v>
      </c>
      <c r="AA6163" s="609"/>
    </row>
    <row r="6164" spans="1:27" ht="0.75" customHeight="1" thickBot="1">
      <c r="A6164" s="2714"/>
      <c r="B6164" s="371"/>
      <c r="C6164" s="371"/>
      <c r="D6164" s="371"/>
      <c r="E6164" s="586"/>
      <c r="F6164" s="586"/>
      <c r="G6164" s="586" t="s">
        <v>4818</v>
      </c>
      <c r="H6164" s="371" t="s">
        <v>6315</v>
      </c>
      <c r="I6164" s="371" t="s">
        <v>6316</v>
      </c>
      <c r="J6164" s="371" t="s">
        <v>6317</v>
      </c>
      <c r="K6164" s="371" t="s">
        <v>6318</v>
      </c>
      <c r="L6164" s="291"/>
      <c r="M6164" s="291"/>
      <c r="N6164" s="291"/>
      <c r="O6164" s="291"/>
      <c r="S6164" s="364"/>
      <c r="Z6164" s="609" t="s">
        <v>2053</v>
      </c>
      <c r="AA6164" s="609"/>
    </row>
    <row r="6165" spans="1:27" ht="17">
      <c r="A6165" s="2714"/>
      <c r="B6165" s="371"/>
      <c r="C6165" s="371"/>
      <c r="D6165" s="371"/>
      <c r="E6165" s="586" t="s">
        <v>2749</v>
      </c>
      <c r="F6165" s="363"/>
      <c r="G6165" s="2531" t="s">
        <v>47</v>
      </c>
      <c r="H6165" s="2528" t="s">
        <v>3275</v>
      </c>
      <c r="I6165" s="2528" t="s">
        <v>6114</v>
      </c>
      <c r="J6165" s="2528" t="s">
        <v>6043</v>
      </c>
      <c r="K6165" s="2527" t="s">
        <v>6115</v>
      </c>
      <c r="L6165" s="291"/>
      <c r="M6165" s="291"/>
      <c r="N6165" s="291"/>
      <c r="O6165" s="291"/>
      <c r="S6165" s="364"/>
      <c r="Z6165" s="609" t="s">
        <v>2053</v>
      </c>
      <c r="AA6165" s="609"/>
    </row>
    <row r="6166" spans="1:27" ht="17">
      <c r="A6166" s="2714"/>
      <c r="B6166" s="371">
        <v>101</v>
      </c>
      <c r="C6166" s="371"/>
      <c r="D6166" s="2716">
        <f t="shared" ref="D6166:D6182" si="643">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7">
      <c r="A6167" s="2714"/>
      <c r="B6167" s="371">
        <v>102</v>
      </c>
      <c r="C6167" s="371"/>
      <c r="D6167" s="2716">
        <f t="shared" si="643"/>
        <v>1</v>
      </c>
      <c r="E6167" s="2721">
        <v>0</v>
      </c>
      <c r="F6167" s="294"/>
      <c r="G6167" s="1474" t="s">
        <v>4820</v>
      </c>
      <c r="H6167" s="2275"/>
      <c r="I6167" s="2298"/>
      <c r="J6167" s="2298"/>
      <c r="K6167" s="2276"/>
      <c r="L6167" s="291"/>
      <c r="M6167" s="291"/>
      <c r="N6167" s="291"/>
      <c r="O6167" s="291"/>
      <c r="S6167" s="364"/>
      <c r="Z6167" s="609" t="s">
        <v>2053</v>
      </c>
      <c r="AA6167" s="609"/>
    </row>
    <row r="6168" spans="1:27" ht="17">
      <c r="A6168" s="2714"/>
      <c r="B6168" s="371">
        <v>103</v>
      </c>
      <c r="C6168" s="371"/>
      <c r="D6168" s="2716">
        <f t="shared" si="643"/>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7">
      <c r="A6169" s="2714"/>
      <c r="B6169" s="371">
        <v>104</v>
      </c>
      <c r="C6169" s="371" t="s">
        <v>2791</v>
      </c>
      <c r="D6169" s="2716">
        <f t="shared" si="643"/>
        <v>0</v>
      </c>
      <c r="E6169" s="2721">
        <v>1</v>
      </c>
      <c r="F6169" s="294"/>
      <c r="G6169" s="2530" t="s">
        <v>2792</v>
      </c>
      <c r="H6169" s="2275"/>
      <c r="I6169" s="2298"/>
      <c r="J6169" s="2298"/>
      <c r="K6169" s="2276"/>
      <c r="L6169" s="291"/>
      <c r="M6169" s="291"/>
      <c r="N6169" s="291"/>
      <c r="O6169" s="291"/>
      <c r="S6169" s="364"/>
      <c r="Z6169" s="609" t="s">
        <v>2053</v>
      </c>
      <c r="AA6169" s="609"/>
    </row>
    <row r="6170" spans="1:27" ht="17">
      <c r="A6170" s="2714"/>
      <c r="B6170" s="371">
        <v>105</v>
      </c>
      <c r="C6170" s="371"/>
      <c r="D6170" s="2716">
        <f t="shared" si="643"/>
        <v>1</v>
      </c>
      <c r="E6170" s="2721" t="s">
        <v>41</v>
      </c>
      <c r="F6170" s="294"/>
      <c r="G6170" s="1474" t="s">
        <v>4822</v>
      </c>
      <c r="H6170" s="2275"/>
      <c r="I6170" s="2298"/>
      <c r="J6170" s="2298"/>
      <c r="K6170" s="2276"/>
      <c r="L6170" s="532"/>
      <c r="M6170" s="291"/>
      <c r="N6170" s="291"/>
      <c r="O6170" s="291"/>
      <c r="S6170" s="364"/>
      <c r="Z6170" s="609" t="s">
        <v>2053</v>
      </c>
      <c r="AA6170" s="609"/>
    </row>
    <row r="6171" spans="1:27" ht="17">
      <c r="A6171" s="2714"/>
      <c r="B6171" s="371">
        <v>105.001</v>
      </c>
      <c r="C6171" s="371"/>
      <c r="D6171" s="2716">
        <f t="shared" si="643"/>
        <v>1</v>
      </c>
      <c r="E6171" s="2721" t="s">
        <v>4823</v>
      </c>
      <c r="F6171" s="294"/>
      <c r="G6171" s="1474" t="s">
        <v>4824</v>
      </c>
      <c r="H6171" s="2275"/>
      <c r="I6171" s="2298"/>
      <c r="J6171" s="2298"/>
      <c r="K6171" s="2276"/>
      <c r="L6171" s="291"/>
      <c r="M6171" s="291"/>
      <c r="N6171" s="291"/>
      <c r="O6171" s="291"/>
      <c r="S6171" s="364"/>
      <c r="Z6171" s="609" t="s">
        <v>2053</v>
      </c>
      <c r="AA6171" s="609"/>
    </row>
    <row r="6172" spans="1:27" ht="17">
      <c r="A6172" s="2714"/>
      <c r="B6172" s="371">
        <v>105.002</v>
      </c>
      <c r="C6172" s="371"/>
      <c r="D6172" s="2716">
        <f t="shared" si="643"/>
        <v>1</v>
      </c>
      <c r="E6172" s="2721" t="s">
        <v>4825</v>
      </c>
      <c r="F6172" s="294"/>
      <c r="G6172" s="1474" t="s">
        <v>4826</v>
      </c>
      <c r="H6172" s="2275"/>
      <c r="I6172" s="2298"/>
      <c r="J6172" s="2298"/>
      <c r="K6172" s="2276"/>
      <c r="L6172" s="291"/>
      <c r="M6172" s="291"/>
      <c r="N6172" s="291"/>
      <c r="O6172" s="291"/>
      <c r="S6172" s="364"/>
      <c r="Z6172" s="609" t="s">
        <v>2053</v>
      </c>
      <c r="AA6172" s="609"/>
    </row>
    <row r="6173" spans="1:27" ht="17">
      <c r="A6173" s="2714"/>
      <c r="B6173" s="371">
        <v>105.003</v>
      </c>
      <c r="C6173" s="371"/>
      <c r="D6173" s="2716">
        <f t="shared" si="643"/>
        <v>1</v>
      </c>
      <c r="E6173" s="2721" t="s">
        <v>4825</v>
      </c>
      <c r="F6173" s="294"/>
      <c r="G6173" s="1474" t="s">
        <v>4827</v>
      </c>
      <c r="H6173" s="2275"/>
      <c r="I6173" s="2298"/>
      <c r="J6173" s="2298"/>
      <c r="K6173" s="2276"/>
      <c r="L6173" s="291"/>
      <c r="M6173" s="291"/>
      <c r="N6173" s="291"/>
      <c r="O6173" s="291"/>
      <c r="S6173" s="364"/>
      <c r="Z6173" s="609" t="s">
        <v>2053</v>
      </c>
      <c r="AA6173" s="609"/>
    </row>
    <row r="6174" spans="1:27" ht="17">
      <c r="A6174" s="2714"/>
      <c r="B6174" s="371">
        <v>105.004</v>
      </c>
      <c r="C6174" s="371"/>
      <c r="D6174" s="2716">
        <f t="shared" si="643"/>
        <v>1</v>
      </c>
      <c r="E6174" s="2721" t="s">
        <v>4825</v>
      </c>
      <c r="F6174" s="294"/>
      <c r="G6174" s="1474" t="s">
        <v>4828</v>
      </c>
      <c r="H6174" s="2275"/>
      <c r="I6174" s="2298"/>
      <c r="J6174" s="2298"/>
      <c r="K6174" s="2276"/>
      <c r="L6174" s="291"/>
      <c r="M6174" s="291"/>
      <c r="N6174" s="291"/>
      <c r="O6174" s="291"/>
      <c r="S6174" s="364"/>
      <c r="Z6174" s="609" t="s">
        <v>2053</v>
      </c>
      <c r="AA6174" s="609"/>
    </row>
    <row r="6175" spans="1:27" ht="17">
      <c r="A6175" s="2714"/>
      <c r="B6175" s="371">
        <v>105.005</v>
      </c>
      <c r="C6175" s="371" t="s">
        <v>2791</v>
      </c>
      <c r="D6175" s="2716">
        <f t="shared" si="643"/>
        <v>0</v>
      </c>
      <c r="E6175" s="2721" t="s">
        <v>4825</v>
      </c>
      <c r="F6175" s="294"/>
      <c r="G6175" s="2530" t="s">
        <v>2792</v>
      </c>
      <c r="H6175" s="2275"/>
      <c r="I6175" s="2298"/>
      <c r="J6175" s="2298"/>
      <c r="K6175" s="2276"/>
      <c r="L6175" s="291"/>
      <c r="M6175" s="291"/>
      <c r="N6175" s="291"/>
      <c r="O6175" s="291"/>
      <c r="S6175" s="364"/>
      <c r="Z6175" s="609" t="s">
        <v>2053</v>
      </c>
      <c r="AA6175" s="609"/>
    </row>
    <row r="6176" spans="1:27" ht="17">
      <c r="A6176" s="2714"/>
      <c r="B6176" s="371">
        <v>105.006</v>
      </c>
      <c r="C6176" s="371"/>
      <c r="D6176" s="2716">
        <f t="shared" si="643"/>
        <v>1</v>
      </c>
      <c r="E6176" s="2721" t="s">
        <v>4823</v>
      </c>
      <c r="F6176" s="294"/>
      <c r="G6176" s="1474" t="s">
        <v>4829</v>
      </c>
      <c r="H6176" s="2275"/>
      <c r="I6176" s="2298"/>
      <c r="J6176" s="2298"/>
      <c r="K6176" s="2276"/>
      <c r="L6176" s="291"/>
      <c r="M6176" s="291"/>
      <c r="N6176" s="291"/>
      <c r="O6176" s="291"/>
      <c r="S6176" s="364"/>
      <c r="Z6176" s="609" t="s">
        <v>2053</v>
      </c>
      <c r="AA6176" s="609"/>
    </row>
    <row r="6177" spans="1:27" ht="17">
      <c r="A6177" s="2714"/>
      <c r="B6177" s="371">
        <v>105.00700000000001</v>
      </c>
      <c r="C6177" s="371"/>
      <c r="D6177" s="2716">
        <f t="shared" si="643"/>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7">
      <c r="A6178" s="2714"/>
      <c r="B6178" s="371">
        <v>105.008</v>
      </c>
      <c r="C6178" s="371"/>
      <c r="D6178" s="2716">
        <f t="shared" si="643"/>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7">
      <c r="A6179" s="2714"/>
      <c r="B6179" s="371">
        <v>105.009</v>
      </c>
      <c r="C6179" s="371" t="s">
        <v>2791</v>
      </c>
      <c r="D6179" s="2716">
        <f t="shared" si="643"/>
        <v>0</v>
      </c>
      <c r="E6179" s="2721" t="s">
        <v>4825</v>
      </c>
      <c r="F6179" s="294"/>
      <c r="G6179" s="2530" t="s">
        <v>2792</v>
      </c>
      <c r="H6179" s="2275"/>
      <c r="I6179" s="2298"/>
      <c r="J6179" s="2298"/>
      <c r="K6179" s="2276"/>
      <c r="L6179" s="291"/>
      <c r="M6179" s="291"/>
      <c r="N6179" s="291"/>
      <c r="O6179" s="291"/>
      <c r="S6179" s="364"/>
      <c r="Z6179" s="609" t="s">
        <v>2053</v>
      </c>
      <c r="AA6179" s="609"/>
    </row>
    <row r="6180" spans="1:27" ht="17">
      <c r="A6180" s="2714"/>
      <c r="B6180" s="371">
        <v>105.999</v>
      </c>
      <c r="C6180" s="371"/>
      <c r="D6180" s="2716">
        <f t="shared" si="643"/>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7">
      <c r="A6181" s="2714"/>
      <c r="B6181" s="371">
        <v>106</v>
      </c>
      <c r="C6181" s="371" t="s">
        <v>2791</v>
      </c>
      <c r="D6181" s="2716">
        <f t="shared" si="643"/>
        <v>0</v>
      </c>
      <c r="E6181" s="2721">
        <v>-1</v>
      </c>
      <c r="F6181" s="294"/>
      <c r="G6181" s="2530" t="s">
        <v>2792</v>
      </c>
      <c r="H6181" s="2275"/>
      <c r="I6181" s="2298"/>
      <c r="J6181" s="2298"/>
      <c r="K6181" s="2276"/>
      <c r="L6181" s="291"/>
      <c r="M6181" s="291"/>
      <c r="N6181" s="291"/>
      <c r="O6181" s="291"/>
      <c r="S6181" s="364"/>
      <c r="Z6181" s="609" t="s">
        <v>2053</v>
      </c>
      <c r="AA6181" s="609"/>
    </row>
    <row r="6182" spans="1:27" ht="17.5" thickBot="1">
      <c r="A6182" s="2714"/>
      <c r="B6182" s="371"/>
      <c r="C6182" s="371"/>
      <c r="D6182" s="2716">
        <f t="shared" si="643"/>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7">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7">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0</v>
      </c>
      <c r="L6184" s="342"/>
      <c r="M6184" s="306"/>
      <c r="N6184" s="341"/>
      <c r="O6184" s="306"/>
      <c r="P6184" s="301"/>
      <c r="S6184" s="364"/>
      <c r="Z6184" s="609" t="s">
        <v>2057</v>
      </c>
      <c r="AA6184" s="609"/>
    </row>
    <row r="6185" spans="1:27" ht="39">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0</v>
      </c>
      <c r="L6185" s="345" t="str">
        <f>IF(ROUND(K6184-K6185,2)=0,"F/S",ROUND(K6184-K6185,2))</f>
        <v>F/S</v>
      </c>
      <c r="M6185" s="532" t="s">
        <v>4713</v>
      </c>
      <c r="N6185" s="3084"/>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7">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7">
      <c r="A6188" s="2714"/>
      <c r="B6188" s="371">
        <v>101</v>
      </c>
      <c r="C6188" s="371"/>
      <c r="D6188" s="2716">
        <f t="shared" ref="D6188:D6209" si="644">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7">
      <c r="A6189" s="2714"/>
      <c r="B6189" s="371">
        <v>101.001</v>
      </c>
      <c r="C6189" s="371"/>
      <c r="D6189" s="2716">
        <f t="shared" si="644"/>
        <v>1</v>
      </c>
      <c r="E6189" s="2721" t="s">
        <v>4835</v>
      </c>
      <c r="F6189" s="294"/>
      <c r="G6189" s="308" t="s">
        <v>109</v>
      </c>
      <c r="H6189" s="309"/>
      <c r="I6189" s="309"/>
      <c r="J6189" s="1476">
        <f t="shared" ref="J6189:J6194" si="645">I6189-H6189</f>
        <v>0</v>
      </c>
      <c r="K6189" s="388"/>
      <c r="L6189" s="291"/>
      <c r="M6189" s="291"/>
      <c r="N6189" s="291"/>
      <c r="O6189" s="291"/>
      <c r="S6189" s="364"/>
      <c r="Z6189" s="609" t="s">
        <v>2057</v>
      </c>
      <c r="AA6189" s="609"/>
    </row>
    <row r="6190" spans="1:27" ht="17">
      <c r="A6190" s="2714"/>
      <c r="B6190" s="371">
        <v>101.002</v>
      </c>
      <c r="C6190" s="371"/>
      <c r="D6190" s="2716">
        <f t="shared" si="644"/>
        <v>1</v>
      </c>
      <c r="E6190" s="2721" t="s">
        <v>4835</v>
      </c>
      <c r="F6190" s="294"/>
      <c r="G6190" s="308" t="s">
        <v>124</v>
      </c>
      <c r="H6190" s="309"/>
      <c r="I6190" s="309"/>
      <c r="J6190" s="1476">
        <f t="shared" si="645"/>
        <v>0</v>
      </c>
      <c r="K6190" s="388"/>
      <c r="L6190" s="291"/>
      <c r="M6190" s="291"/>
      <c r="N6190" s="291"/>
      <c r="O6190" s="291"/>
      <c r="S6190" s="364"/>
      <c r="Z6190" s="609" t="s">
        <v>2057</v>
      </c>
      <c r="AA6190" s="609"/>
    </row>
    <row r="6191" spans="1:27" ht="17">
      <c r="A6191" s="2714"/>
      <c r="B6191" s="371">
        <v>101.003</v>
      </c>
      <c r="C6191" s="371"/>
      <c r="D6191" s="2716">
        <f t="shared" si="644"/>
        <v>1</v>
      </c>
      <c r="E6191" s="2721" t="s">
        <v>4835</v>
      </c>
      <c r="F6191" s="294"/>
      <c r="G6191" s="308" t="s">
        <v>162</v>
      </c>
      <c r="H6191" s="309"/>
      <c r="I6191" s="309"/>
      <c r="J6191" s="1476">
        <f t="shared" si="645"/>
        <v>0</v>
      </c>
      <c r="K6191" s="388"/>
      <c r="L6191" s="291"/>
      <c r="M6191" s="291"/>
      <c r="N6191" s="291"/>
      <c r="O6191" s="291"/>
      <c r="S6191" s="364"/>
      <c r="Z6191" s="609" t="s">
        <v>2057</v>
      </c>
      <c r="AA6191" s="609"/>
    </row>
    <row r="6192" spans="1:27" ht="17">
      <c r="A6192" s="2714"/>
      <c r="B6192" s="371">
        <v>101.004</v>
      </c>
      <c r="C6192" s="371"/>
      <c r="D6192" s="2716">
        <f t="shared" si="644"/>
        <v>1</v>
      </c>
      <c r="E6192" s="2721" t="s">
        <v>4835</v>
      </c>
      <c r="F6192" s="294"/>
      <c r="G6192" s="308" t="s">
        <v>201</v>
      </c>
      <c r="H6192" s="309"/>
      <c r="I6192" s="309"/>
      <c r="J6192" s="1476">
        <f t="shared" si="645"/>
        <v>0</v>
      </c>
      <c r="K6192" s="388"/>
      <c r="L6192" s="291"/>
      <c r="M6192" s="291"/>
      <c r="N6192" s="291"/>
      <c r="O6192" s="291"/>
      <c r="S6192" s="364"/>
      <c r="Z6192" s="609" t="s">
        <v>2057</v>
      </c>
      <c r="AA6192" s="609"/>
    </row>
    <row r="6193" spans="1:27" ht="17">
      <c r="A6193" s="2714"/>
      <c r="B6193" s="371">
        <v>101.005</v>
      </c>
      <c r="C6193" s="371"/>
      <c r="D6193" s="2716">
        <f t="shared" si="644"/>
        <v>1</v>
      </c>
      <c r="E6193" s="2721" t="s">
        <v>4835</v>
      </c>
      <c r="F6193" s="294"/>
      <c r="G6193" s="308" t="s">
        <v>247</v>
      </c>
      <c r="H6193" s="309"/>
      <c r="I6193" s="309"/>
      <c r="J6193" s="1476">
        <f t="shared" si="645"/>
        <v>0</v>
      </c>
      <c r="K6193" s="388"/>
      <c r="L6193" s="291"/>
      <c r="M6193" s="291"/>
      <c r="N6193" s="291"/>
      <c r="O6193" s="291"/>
      <c r="S6193" s="364"/>
      <c r="Z6193" s="609" t="s">
        <v>2057</v>
      </c>
      <c r="AA6193" s="609"/>
    </row>
    <row r="6194" spans="1:27" ht="17">
      <c r="A6194" s="2714"/>
      <c r="B6194" s="371">
        <v>101.006</v>
      </c>
      <c r="C6194" s="371" t="s">
        <v>2791</v>
      </c>
      <c r="D6194" s="2716">
        <f t="shared" si="644"/>
        <v>0</v>
      </c>
      <c r="E6194" s="2721" t="s">
        <v>4835</v>
      </c>
      <c r="F6194" s="294"/>
      <c r="G6194" s="1563" t="s">
        <v>2792</v>
      </c>
      <c r="H6194" s="309"/>
      <c r="I6194" s="309"/>
      <c r="J6194" s="1476">
        <f t="shared" si="645"/>
        <v>0</v>
      </c>
      <c r="K6194" s="388"/>
      <c r="L6194" s="291"/>
      <c r="M6194" s="291"/>
      <c r="N6194" s="291"/>
      <c r="O6194" s="291"/>
      <c r="S6194" s="364"/>
      <c r="Z6194" s="609" t="s">
        <v>2057</v>
      </c>
      <c r="AA6194" s="609"/>
    </row>
    <row r="6195" spans="1:27" ht="17">
      <c r="A6195" s="2714"/>
      <c r="B6195" s="371">
        <v>101.999</v>
      </c>
      <c r="C6195" s="371"/>
      <c r="D6195" s="2716">
        <f t="shared" si="644"/>
        <v>1</v>
      </c>
      <c r="E6195" s="2721">
        <v>1</v>
      </c>
      <c r="F6195" s="294"/>
      <c r="G6195" s="308" t="s">
        <v>4835</v>
      </c>
      <c r="H6195" s="1476">
        <f>SUMIF($E$6187:$E$6208,$G6195,H$6187:H$6208)</f>
        <v>0</v>
      </c>
      <c r="I6195" s="1476">
        <f>SUMIF($E$6187:$E$6208,$G6195,I$6187:I$6208)</f>
        <v>0</v>
      </c>
      <c r="J6195" s="1476">
        <f>SUMIF($E$6187:$E$6208,$G6195,J$6187:J$6208)</f>
        <v>0</v>
      </c>
      <c r="K6195" s="388"/>
      <c r="L6195" s="291"/>
      <c r="M6195" s="291"/>
      <c r="N6195" s="291"/>
      <c r="O6195" s="291"/>
      <c r="S6195" s="364"/>
      <c r="Z6195" s="609" t="s">
        <v>2057</v>
      </c>
      <c r="AA6195" s="609"/>
    </row>
    <row r="6196" spans="1:27" ht="17">
      <c r="A6196" s="2714"/>
      <c r="B6196" s="371">
        <v>102</v>
      </c>
      <c r="C6196" s="371"/>
      <c r="D6196" s="2716">
        <f t="shared" si="644"/>
        <v>1</v>
      </c>
      <c r="E6196" s="2721" t="s">
        <v>41</v>
      </c>
      <c r="F6196" s="294"/>
      <c r="G6196" s="308" t="s">
        <v>4836</v>
      </c>
      <c r="H6196" s="309"/>
      <c r="I6196" s="309"/>
      <c r="J6196" s="309"/>
      <c r="K6196" s="388"/>
      <c r="L6196" s="532"/>
      <c r="M6196" s="291"/>
      <c r="N6196" s="291"/>
      <c r="O6196" s="291"/>
      <c r="S6196" s="364"/>
      <c r="Z6196" s="609" t="s">
        <v>2057</v>
      </c>
      <c r="AA6196" s="609"/>
    </row>
    <row r="6197" spans="1:27" ht="26">
      <c r="A6197" s="2714"/>
      <c r="B6197" s="371">
        <v>102.001</v>
      </c>
      <c r="C6197" s="371"/>
      <c r="D6197" s="2716">
        <f t="shared" si="644"/>
        <v>1</v>
      </c>
      <c r="E6197" s="2721" t="s">
        <v>4823</v>
      </c>
      <c r="F6197" s="294"/>
      <c r="G6197" s="308" t="s">
        <v>4837</v>
      </c>
      <c r="H6197" s="309"/>
      <c r="I6197" s="309"/>
      <c r="J6197" s="309"/>
      <c r="K6197" s="388"/>
      <c r="L6197" s="291"/>
      <c r="M6197" s="291"/>
      <c r="N6197" s="291"/>
      <c r="O6197" s="291"/>
      <c r="S6197" s="364"/>
      <c r="Z6197" s="609" t="s">
        <v>2057</v>
      </c>
      <c r="AA6197" s="609"/>
    </row>
    <row r="6198" spans="1:27" ht="17">
      <c r="A6198" s="2714"/>
      <c r="B6198" s="371">
        <v>102.002</v>
      </c>
      <c r="C6198" s="371"/>
      <c r="D6198" s="2716">
        <f t="shared" si="644"/>
        <v>1</v>
      </c>
      <c r="E6198" s="2721" t="s">
        <v>4838</v>
      </c>
      <c r="F6198" s="294"/>
      <c r="G6198" s="308" t="s">
        <v>4839</v>
      </c>
      <c r="H6198" s="309"/>
      <c r="I6198" s="309"/>
      <c r="J6198" s="1476">
        <f t="shared" ref="J6198:J6208" si="646">I6198-H6198</f>
        <v>0</v>
      </c>
      <c r="K6198" s="388"/>
      <c r="L6198" s="291"/>
      <c r="M6198" s="291"/>
      <c r="N6198" s="291"/>
      <c r="O6198" s="291"/>
      <c r="S6198" s="364"/>
      <c r="Z6198" s="609" t="s">
        <v>2057</v>
      </c>
      <c r="AA6198" s="609"/>
    </row>
    <row r="6199" spans="1:27" ht="26">
      <c r="A6199" s="2714"/>
      <c r="B6199" s="371">
        <v>102.003</v>
      </c>
      <c r="C6199" s="371"/>
      <c r="D6199" s="2716">
        <f t="shared" si="644"/>
        <v>1</v>
      </c>
      <c r="E6199" s="2721" t="s">
        <v>4838</v>
      </c>
      <c r="F6199" s="294"/>
      <c r="G6199" s="308" t="s">
        <v>4840</v>
      </c>
      <c r="H6199" s="309"/>
      <c r="I6199" s="309"/>
      <c r="J6199" s="1476">
        <f t="shared" si="646"/>
        <v>0</v>
      </c>
      <c r="K6199" s="388"/>
      <c r="L6199" s="291"/>
      <c r="M6199" s="291"/>
      <c r="N6199" s="291"/>
      <c r="O6199" s="291"/>
      <c r="S6199" s="364"/>
      <c r="Z6199" s="609" t="s">
        <v>2057</v>
      </c>
      <c r="AA6199" s="609"/>
    </row>
    <row r="6200" spans="1:27" ht="26">
      <c r="A6200" s="2714"/>
      <c r="B6200" s="371">
        <v>102.004</v>
      </c>
      <c r="C6200" s="371"/>
      <c r="D6200" s="2716">
        <f t="shared" si="644"/>
        <v>1</v>
      </c>
      <c r="E6200" s="2721" t="s">
        <v>4838</v>
      </c>
      <c r="F6200" s="294"/>
      <c r="G6200" s="308" t="s">
        <v>4841</v>
      </c>
      <c r="H6200" s="309"/>
      <c r="I6200" s="309"/>
      <c r="J6200" s="1476">
        <f t="shared" si="646"/>
        <v>0</v>
      </c>
      <c r="K6200" s="388"/>
      <c r="L6200" s="291"/>
      <c r="M6200" s="291"/>
      <c r="N6200" s="291"/>
      <c r="O6200" s="291"/>
      <c r="S6200" s="364"/>
      <c r="Z6200" s="609" t="s">
        <v>2057</v>
      </c>
      <c r="AA6200" s="609"/>
    </row>
    <row r="6201" spans="1:27" ht="17">
      <c r="A6201" s="2714"/>
      <c r="B6201" s="371">
        <v>102.005</v>
      </c>
      <c r="C6201" s="371"/>
      <c r="D6201" s="2716">
        <f t="shared" si="644"/>
        <v>1</v>
      </c>
      <c r="E6201" s="2721" t="s">
        <v>4838</v>
      </c>
      <c r="F6201" s="294"/>
      <c r="G6201" s="308" t="s">
        <v>4842</v>
      </c>
      <c r="H6201" s="309"/>
      <c r="I6201" s="309"/>
      <c r="J6201" s="1476">
        <f t="shared" si="646"/>
        <v>0</v>
      </c>
      <c r="K6201" s="388"/>
      <c r="L6201" s="291"/>
      <c r="M6201" s="291"/>
      <c r="N6201" s="291"/>
      <c r="O6201" s="291"/>
      <c r="S6201" s="364"/>
      <c r="Z6201" s="609" t="s">
        <v>2057</v>
      </c>
      <c r="AA6201" s="609"/>
    </row>
    <row r="6202" spans="1:27" ht="17">
      <c r="A6202" s="2714"/>
      <c r="B6202" s="371">
        <v>102.006</v>
      </c>
      <c r="C6202" s="371"/>
      <c r="D6202" s="2716">
        <f t="shared" si="644"/>
        <v>1</v>
      </c>
      <c r="E6202" s="2721" t="s">
        <v>4838</v>
      </c>
      <c r="F6202" s="294"/>
      <c r="G6202" s="308" t="s">
        <v>4843</v>
      </c>
      <c r="H6202" s="309"/>
      <c r="I6202" s="309"/>
      <c r="J6202" s="1476">
        <f t="shared" si="646"/>
        <v>0</v>
      </c>
      <c r="K6202" s="388"/>
      <c r="L6202" s="291"/>
      <c r="M6202" s="291"/>
      <c r="N6202" s="291"/>
      <c r="O6202" s="291"/>
      <c r="S6202" s="364"/>
      <c r="Z6202" s="609" t="s">
        <v>2057</v>
      </c>
      <c r="AA6202" s="609"/>
    </row>
    <row r="6203" spans="1:27" ht="17">
      <c r="A6203" s="2714"/>
      <c r="B6203" s="371">
        <v>102.00700000000001</v>
      </c>
      <c r="C6203" s="371" t="s">
        <v>2791</v>
      </c>
      <c r="D6203" s="2716">
        <f t="shared" si="644"/>
        <v>0</v>
      </c>
      <c r="E6203" s="2721" t="s">
        <v>4838</v>
      </c>
      <c r="F6203" s="294"/>
      <c r="G6203" s="1563" t="s">
        <v>2792</v>
      </c>
      <c r="H6203" s="309"/>
      <c r="I6203" s="309"/>
      <c r="J6203" s="1476">
        <f t="shared" si="646"/>
        <v>0</v>
      </c>
      <c r="K6203" s="388"/>
      <c r="L6203" s="291"/>
      <c r="M6203" s="291"/>
      <c r="N6203" s="291"/>
      <c r="O6203" s="291"/>
      <c r="S6203" s="364"/>
      <c r="Z6203" s="609" t="s">
        <v>2057</v>
      </c>
      <c r="AA6203" s="609"/>
    </row>
    <row r="6204" spans="1:27" ht="26">
      <c r="A6204" s="2714"/>
      <c r="B6204" s="371">
        <v>102.008</v>
      </c>
      <c r="C6204" s="371"/>
      <c r="D6204" s="2716">
        <f t="shared" si="644"/>
        <v>1</v>
      </c>
      <c r="E6204" s="2721" t="s">
        <v>4823</v>
      </c>
      <c r="F6204" s="294"/>
      <c r="G6204" s="308" t="s">
        <v>4844</v>
      </c>
      <c r="H6204" s="309"/>
      <c r="I6204" s="309"/>
      <c r="J6204" s="1476">
        <f t="shared" si="646"/>
        <v>0</v>
      </c>
      <c r="K6204" s="388"/>
      <c r="L6204" s="291"/>
      <c r="M6204" s="291"/>
      <c r="N6204" s="291"/>
      <c r="O6204" s="291"/>
      <c r="S6204" s="364"/>
      <c r="Z6204" s="609" t="s">
        <v>2057</v>
      </c>
      <c r="AA6204" s="609"/>
    </row>
    <row r="6205" spans="1:27" ht="17">
      <c r="A6205" s="2714"/>
      <c r="B6205" s="371">
        <v>102.009</v>
      </c>
      <c r="C6205" s="371"/>
      <c r="D6205" s="2716">
        <f t="shared" si="644"/>
        <v>1</v>
      </c>
      <c r="E6205" s="2721" t="s">
        <v>4838</v>
      </c>
      <c r="F6205" s="294"/>
      <c r="G6205" s="308" t="s">
        <v>4845</v>
      </c>
      <c r="H6205" s="309"/>
      <c r="I6205" s="309"/>
      <c r="J6205" s="1476">
        <f t="shared" si="646"/>
        <v>0</v>
      </c>
      <c r="K6205" s="388"/>
      <c r="L6205" s="291"/>
      <c r="M6205" s="291"/>
      <c r="N6205" s="291"/>
      <c r="O6205" s="291"/>
      <c r="S6205" s="364"/>
      <c r="Z6205" s="609" t="s">
        <v>2057</v>
      </c>
      <c r="AA6205" s="609"/>
    </row>
    <row r="6206" spans="1:27" ht="17">
      <c r="A6206" s="2714"/>
      <c r="B6206" s="371">
        <v>102.01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7">
      <c r="A6207" s="2714"/>
      <c r="B6207" s="371">
        <v>102.999</v>
      </c>
      <c r="C6207" s="371"/>
      <c r="D6207" s="2716">
        <f t="shared" si="644"/>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7">
      <c r="A6208" s="2714"/>
      <c r="B6208" s="371">
        <v>103</v>
      </c>
      <c r="C6208" s="371" t="s">
        <v>2791</v>
      </c>
      <c r="D6208" s="2716">
        <f t="shared" si="644"/>
        <v>0</v>
      </c>
      <c r="E6208" s="2721">
        <v>-1</v>
      </c>
      <c r="F6208" s="294"/>
      <c r="G6208" s="1563" t="s">
        <v>2792</v>
      </c>
      <c r="H6208" s="309"/>
      <c r="I6208" s="309"/>
      <c r="J6208" s="1476">
        <f t="shared" si="646"/>
        <v>0</v>
      </c>
      <c r="K6208" s="388"/>
      <c r="L6208" s="291"/>
      <c r="M6208" s="291"/>
      <c r="N6208" s="291"/>
      <c r="O6208" s="291"/>
      <c r="S6208" s="364"/>
      <c r="Z6208" s="609" t="s">
        <v>2057</v>
      </c>
      <c r="AA6208" s="609"/>
    </row>
    <row r="6209" spans="1:27" ht="17.5" thickBot="1">
      <c r="A6209" s="2714"/>
      <c r="B6209" s="371"/>
      <c r="C6209" s="371"/>
      <c r="D6209" s="2716">
        <f t="shared" si="644"/>
        <v>1</v>
      </c>
      <c r="E6209" s="2721" t="s">
        <v>2751</v>
      </c>
      <c r="F6209" s="294"/>
      <c r="G6209" s="1529" t="s">
        <v>2752</v>
      </c>
      <c r="H6209" s="1527">
        <f>SUMPRODUCT($E6187:$E6208,H6187:H6208)</f>
        <v>0</v>
      </c>
      <c r="I6209" s="1527">
        <f>SUMPRODUCT($E6187:$E6208,I6187:I6208)</f>
        <v>0</v>
      </c>
      <c r="J6209" s="1527">
        <f>SUMPRODUCT($E6187:$E6208,J6187:J6208)</f>
        <v>0</v>
      </c>
      <c r="K6209" s="1571"/>
      <c r="L6209" s="291"/>
      <c r="M6209" s="291"/>
      <c r="N6209" s="291"/>
      <c r="O6209" s="291"/>
      <c r="S6209" s="364"/>
      <c r="Z6209" s="609" t="s">
        <v>2057</v>
      </c>
      <c r="AA6209" s="609"/>
    </row>
    <row r="6210" spans="1:27" ht="17">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7">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0</v>
      </c>
      <c r="L6211" s="342"/>
      <c r="M6211" s="306"/>
      <c r="N6211" s="341"/>
      <c r="O6211" s="306"/>
      <c r="P6211" s="301"/>
      <c r="S6211" s="364"/>
      <c r="Z6211" s="609" t="s">
        <v>2060</v>
      </c>
      <c r="AA6211" s="609"/>
    </row>
    <row r="6212" spans="1:27" ht="39">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0</v>
      </c>
      <c r="L6212" s="345" t="str">
        <f>IF(ROUND(K6211-K6212,2)=0,"F/S",ROUND(K6211-K6212,2))</f>
        <v>F/S</v>
      </c>
      <c r="M6212" s="532" t="s">
        <v>4713</v>
      </c>
      <c r="N6212" s="3084"/>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7">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7">
      <c r="A6215" s="2714"/>
      <c r="B6215" s="371">
        <v>101</v>
      </c>
      <c r="C6215" s="371"/>
      <c r="D6215" s="2716">
        <f t="shared" ref="D6215:D6238" si="647">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7">
      <c r="A6216" s="2714"/>
      <c r="B6216" s="371">
        <v>101.001</v>
      </c>
      <c r="C6216" s="371"/>
      <c r="D6216" s="2716">
        <f t="shared" si="647"/>
        <v>1</v>
      </c>
      <c r="E6216" s="2721" t="s">
        <v>4848</v>
      </c>
      <c r="F6216" s="294"/>
      <c r="G6216" s="308" t="s">
        <v>471</v>
      </c>
      <c r="H6216" s="309"/>
      <c r="I6216" s="309"/>
      <c r="J6216" s="1476">
        <f t="shared" ref="J6216:J6223" si="648">H6216-I6216</f>
        <v>0</v>
      </c>
      <c r="K6216" s="388"/>
      <c r="L6216" s="291"/>
      <c r="M6216" s="291"/>
      <c r="N6216" s="291"/>
      <c r="O6216" s="291"/>
      <c r="S6216" s="364"/>
      <c r="Z6216" s="609" t="s">
        <v>2060</v>
      </c>
      <c r="AA6216" s="609"/>
    </row>
    <row r="6217" spans="1:27" ht="17">
      <c r="A6217" s="2714"/>
      <c r="B6217" s="371">
        <v>101.002</v>
      </c>
      <c r="C6217" s="371"/>
      <c r="D6217" s="2716">
        <f t="shared" si="647"/>
        <v>1</v>
      </c>
      <c r="E6217" s="2721" t="s">
        <v>4848</v>
      </c>
      <c r="F6217" s="294"/>
      <c r="G6217" s="308" t="s">
        <v>476</v>
      </c>
      <c r="H6217" s="309"/>
      <c r="I6217" s="309"/>
      <c r="J6217" s="1476">
        <f t="shared" si="648"/>
        <v>0</v>
      </c>
      <c r="K6217" s="388"/>
      <c r="L6217" s="291"/>
      <c r="M6217" s="291"/>
      <c r="N6217" s="291"/>
      <c r="O6217" s="291"/>
      <c r="S6217" s="364"/>
      <c r="Z6217" s="609" t="s">
        <v>2060</v>
      </c>
      <c r="AA6217" s="609"/>
    </row>
    <row r="6218" spans="1:27" ht="17">
      <c r="A6218" s="2714"/>
      <c r="B6218" s="371">
        <v>101.003</v>
      </c>
      <c r="C6218" s="371"/>
      <c r="D6218" s="2716">
        <f t="shared" si="647"/>
        <v>1</v>
      </c>
      <c r="E6218" s="2721" t="s">
        <v>4848</v>
      </c>
      <c r="F6218" s="294"/>
      <c r="G6218" s="308" t="s">
        <v>484</v>
      </c>
      <c r="H6218" s="309"/>
      <c r="I6218" s="309"/>
      <c r="J6218" s="1476">
        <f t="shared" si="648"/>
        <v>0</v>
      </c>
      <c r="K6218" s="388"/>
      <c r="L6218" s="291"/>
      <c r="M6218" s="291"/>
      <c r="N6218" s="291"/>
      <c r="O6218" s="291"/>
      <c r="S6218" s="364"/>
      <c r="Z6218" s="609" t="s">
        <v>2060</v>
      </c>
      <c r="AA6218" s="609"/>
    </row>
    <row r="6219" spans="1:27" ht="17">
      <c r="A6219" s="2714"/>
      <c r="B6219" s="371">
        <v>101.004</v>
      </c>
      <c r="C6219" s="371"/>
      <c r="D6219" s="2716">
        <f t="shared" si="647"/>
        <v>1</v>
      </c>
      <c r="E6219" s="2721" t="s">
        <v>4848</v>
      </c>
      <c r="F6219" s="294"/>
      <c r="G6219" s="308" t="s">
        <v>489</v>
      </c>
      <c r="H6219" s="309"/>
      <c r="I6219" s="309"/>
      <c r="J6219" s="1476">
        <f t="shared" si="648"/>
        <v>0</v>
      </c>
      <c r="K6219" s="388"/>
      <c r="L6219" s="291"/>
      <c r="M6219" s="291"/>
      <c r="N6219" s="291"/>
      <c r="O6219" s="291"/>
      <c r="S6219" s="364"/>
      <c r="Z6219" s="609" t="s">
        <v>2060</v>
      </c>
      <c r="AA6219" s="609"/>
    </row>
    <row r="6220" spans="1:27" ht="17">
      <c r="A6220" s="2714"/>
      <c r="B6220" s="371">
        <v>101.005</v>
      </c>
      <c r="C6220" s="371"/>
      <c r="D6220" s="2716">
        <f t="shared" si="647"/>
        <v>1</v>
      </c>
      <c r="E6220" s="2721" t="s">
        <v>4848</v>
      </c>
      <c r="F6220" s="294"/>
      <c r="G6220" s="308" t="s">
        <v>494</v>
      </c>
      <c r="H6220" s="309"/>
      <c r="I6220" s="309"/>
      <c r="J6220" s="1476">
        <f t="shared" si="648"/>
        <v>0</v>
      </c>
      <c r="K6220" s="388"/>
      <c r="L6220" s="291"/>
      <c r="M6220" s="291"/>
      <c r="N6220" s="291"/>
      <c r="O6220" s="291"/>
      <c r="S6220" s="364"/>
      <c r="Z6220" s="609" t="s">
        <v>2060</v>
      </c>
      <c r="AA6220" s="609"/>
    </row>
    <row r="6221" spans="1:27" ht="17">
      <c r="A6221" s="2714"/>
      <c r="B6221" s="371">
        <v>101.006</v>
      </c>
      <c r="C6221" s="371"/>
      <c r="D6221" s="2716">
        <f t="shared" si="647"/>
        <v>1</v>
      </c>
      <c r="E6221" s="2721" t="s">
        <v>4848</v>
      </c>
      <c r="F6221" s="294"/>
      <c r="G6221" s="308" t="s">
        <v>513</v>
      </c>
      <c r="H6221" s="309"/>
      <c r="I6221" s="309"/>
      <c r="J6221" s="1476">
        <f t="shared" si="648"/>
        <v>0</v>
      </c>
      <c r="K6221" s="388"/>
      <c r="L6221" s="291"/>
      <c r="M6221" s="291"/>
      <c r="N6221" s="291"/>
      <c r="O6221" s="291"/>
      <c r="S6221" s="364"/>
      <c r="Z6221" s="609" t="s">
        <v>2060</v>
      </c>
      <c r="AA6221" s="609"/>
    </row>
    <row r="6222" spans="1:27" ht="17">
      <c r="A6222" s="2714"/>
      <c r="B6222" s="371">
        <v>101.00700000000001</v>
      </c>
      <c r="C6222" s="371"/>
      <c r="D6222" s="2716">
        <f t="shared" si="647"/>
        <v>1</v>
      </c>
      <c r="E6222" s="2721" t="s">
        <v>4848</v>
      </c>
      <c r="F6222" s="294"/>
      <c r="G6222" s="308" t="s">
        <v>534</v>
      </c>
      <c r="H6222" s="309"/>
      <c r="I6222" s="309"/>
      <c r="J6222" s="1476">
        <f t="shared" si="648"/>
        <v>0</v>
      </c>
      <c r="K6222" s="388"/>
      <c r="L6222" s="291"/>
      <c r="M6222" s="291"/>
      <c r="N6222" s="291"/>
      <c r="O6222" s="291"/>
      <c r="S6222" s="364"/>
      <c r="Z6222" s="609" t="s">
        <v>2060</v>
      </c>
      <c r="AA6222" s="609"/>
    </row>
    <row r="6223" spans="1:27" ht="17">
      <c r="A6223" s="2714"/>
      <c r="B6223" s="371">
        <v>101.008</v>
      </c>
      <c r="C6223" s="371" t="s">
        <v>2791</v>
      </c>
      <c r="D6223" s="2716">
        <f t="shared" si="647"/>
        <v>0</v>
      </c>
      <c r="E6223" s="2721" t="s">
        <v>4848</v>
      </c>
      <c r="F6223" s="294"/>
      <c r="G6223" s="1563" t="s">
        <v>2792</v>
      </c>
      <c r="H6223" s="309"/>
      <c r="I6223" s="309"/>
      <c r="J6223" s="1476">
        <f t="shared" si="648"/>
        <v>0</v>
      </c>
      <c r="K6223" s="388"/>
      <c r="L6223" s="291"/>
      <c r="M6223" s="291"/>
      <c r="N6223" s="291"/>
      <c r="O6223" s="291"/>
      <c r="S6223" s="364"/>
      <c r="Z6223" s="609" t="s">
        <v>2060</v>
      </c>
      <c r="AA6223" s="609"/>
    </row>
    <row r="6224" spans="1:27" ht="17">
      <c r="A6224" s="2714"/>
      <c r="B6224" s="371">
        <v>101.999</v>
      </c>
      <c r="C6224" s="371"/>
      <c r="D6224" s="2716">
        <f t="shared" si="647"/>
        <v>1</v>
      </c>
      <c r="E6224" s="2721">
        <v>1</v>
      </c>
      <c r="F6224" s="294"/>
      <c r="G6224" s="308" t="s">
        <v>4848</v>
      </c>
      <c r="H6224" s="1476">
        <f>SUMIF($E$6214:$E$6237,$G6224,H$6214:H$6237)</f>
        <v>0</v>
      </c>
      <c r="I6224" s="1476">
        <f>SUMIF($E$6214:$E$6237,$G6224,I$6214:I$6237)</f>
        <v>0</v>
      </c>
      <c r="J6224" s="1476">
        <f>SUMIF($E$6214:$E$6237,$G6224,J$6214:J$6237)</f>
        <v>0</v>
      </c>
      <c r="K6224" s="388"/>
      <c r="L6224" s="291"/>
      <c r="M6224" s="291"/>
      <c r="N6224" s="291"/>
      <c r="O6224" s="291"/>
      <c r="S6224" s="364"/>
      <c r="Z6224" s="609" t="s">
        <v>2060</v>
      </c>
      <c r="AA6224" s="609"/>
    </row>
    <row r="6225" spans="1:27" ht="17">
      <c r="A6225" s="2714"/>
      <c r="B6225" s="371">
        <v>102</v>
      </c>
      <c r="C6225" s="371"/>
      <c r="D6225" s="2716">
        <f t="shared" si="647"/>
        <v>1</v>
      </c>
      <c r="E6225" s="2721" t="s">
        <v>41</v>
      </c>
      <c r="F6225" s="294"/>
      <c r="G6225" s="308" t="s">
        <v>4849</v>
      </c>
      <c r="H6225" s="309"/>
      <c r="I6225" s="309"/>
      <c r="J6225" s="309"/>
      <c r="K6225" s="388"/>
      <c r="L6225" s="532"/>
      <c r="M6225" s="291"/>
      <c r="N6225" s="291"/>
      <c r="O6225" s="291"/>
      <c r="S6225" s="364"/>
      <c r="Z6225" s="609" t="s">
        <v>2060</v>
      </c>
      <c r="AA6225" s="609"/>
    </row>
    <row r="6226" spans="1:27" ht="26">
      <c r="A6226" s="2714"/>
      <c r="B6226" s="371">
        <v>102.001</v>
      </c>
      <c r="C6226" s="371"/>
      <c r="D6226" s="2716">
        <f t="shared" si="647"/>
        <v>1</v>
      </c>
      <c r="E6226" s="2721" t="s">
        <v>4823</v>
      </c>
      <c r="F6226" s="294"/>
      <c r="G6226" s="308" t="s">
        <v>4850</v>
      </c>
      <c r="H6226" s="309"/>
      <c r="I6226" s="309"/>
      <c r="J6226" s="309"/>
      <c r="K6226" s="388"/>
      <c r="L6226" s="291"/>
      <c r="M6226" s="291"/>
      <c r="N6226" s="291"/>
      <c r="O6226" s="291"/>
      <c r="S6226" s="364"/>
      <c r="Z6226" s="609" t="s">
        <v>2060</v>
      </c>
      <c r="AA6226" s="609"/>
    </row>
    <row r="6227" spans="1:27" ht="26">
      <c r="A6227" s="2714"/>
      <c r="B6227" s="371">
        <v>102.002</v>
      </c>
      <c r="C6227" s="371"/>
      <c r="D6227" s="2716">
        <f t="shared" si="647"/>
        <v>1</v>
      </c>
      <c r="E6227" s="2721" t="s">
        <v>4851</v>
      </c>
      <c r="F6227" s="294"/>
      <c r="G6227" s="308" t="s">
        <v>4852</v>
      </c>
      <c r="H6227" s="309"/>
      <c r="I6227" s="309"/>
      <c r="J6227" s="1476">
        <f t="shared" ref="J6227:J6235" si="649">H6227-I6227</f>
        <v>0</v>
      </c>
      <c r="K6227" s="388"/>
      <c r="L6227" s="291"/>
      <c r="M6227" s="291"/>
      <c r="N6227" s="291"/>
      <c r="O6227" s="291"/>
      <c r="S6227" s="364"/>
      <c r="Z6227" s="609" t="s">
        <v>2060</v>
      </c>
      <c r="AA6227" s="609"/>
    </row>
    <row r="6228" spans="1:27" ht="26">
      <c r="A6228" s="2714"/>
      <c r="B6228" s="371">
        <v>102.003</v>
      </c>
      <c r="C6228" s="371"/>
      <c r="D6228" s="2716">
        <f t="shared" si="647"/>
        <v>1</v>
      </c>
      <c r="E6228" s="2721" t="s">
        <v>4851</v>
      </c>
      <c r="F6228" s="294"/>
      <c r="G6228" s="308" t="s">
        <v>4853</v>
      </c>
      <c r="H6228" s="309"/>
      <c r="I6228" s="309"/>
      <c r="J6228" s="1476">
        <f t="shared" si="649"/>
        <v>0</v>
      </c>
      <c r="K6228" s="388"/>
      <c r="L6228" s="291"/>
      <c r="M6228" s="291"/>
      <c r="N6228" s="291"/>
      <c r="O6228" s="291"/>
      <c r="S6228" s="364"/>
      <c r="Z6228" s="609" t="s">
        <v>2060</v>
      </c>
      <c r="AA6228" s="609"/>
    </row>
    <row r="6229" spans="1:27" ht="26">
      <c r="A6229" s="2714"/>
      <c r="B6229" s="371">
        <v>102.004</v>
      </c>
      <c r="C6229" s="371"/>
      <c r="D6229" s="2716">
        <f t="shared" si="647"/>
        <v>1</v>
      </c>
      <c r="E6229" s="2721" t="s">
        <v>4851</v>
      </c>
      <c r="F6229" s="294"/>
      <c r="G6229" s="308" t="s">
        <v>4854</v>
      </c>
      <c r="H6229" s="309"/>
      <c r="I6229" s="309"/>
      <c r="J6229" s="1476">
        <f t="shared" si="649"/>
        <v>0</v>
      </c>
      <c r="K6229" s="388"/>
      <c r="L6229" s="291"/>
      <c r="M6229" s="291"/>
      <c r="N6229" s="291"/>
      <c r="O6229" s="291"/>
      <c r="S6229" s="364"/>
      <c r="Z6229" s="609" t="s">
        <v>2060</v>
      </c>
      <c r="AA6229" s="609"/>
    </row>
    <row r="6230" spans="1:27" ht="17">
      <c r="A6230" s="2714"/>
      <c r="B6230" s="371">
        <v>102.005</v>
      </c>
      <c r="C6230" s="371"/>
      <c r="D6230" s="2716">
        <f t="shared" si="647"/>
        <v>1</v>
      </c>
      <c r="E6230" s="2721" t="s">
        <v>4851</v>
      </c>
      <c r="F6230" s="294"/>
      <c r="G6230" s="308" t="s">
        <v>4855</v>
      </c>
      <c r="H6230" s="309"/>
      <c r="I6230" s="309"/>
      <c r="J6230" s="1476">
        <f t="shared" si="649"/>
        <v>0</v>
      </c>
      <c r="K6230" s="388"/>
      <c r="L6230" s="291"/>
      <c r="M6230" s="291"/>
      <c r="N6230" s="291"/>
      <c r="O6230" s="291"/>
      <c r="S6230" s="364"/>
      <c r="Z6230" s="609" t="s">
        <v>2060</v>
      </c>
      <c r="AA6230" s="609"/>
    </row>
    <row r="6231" spans="1:27" ht="17">
      <c r="A6231" s="2714"/>
      <c r="B6231" s="371">
        <v>102.006</v>
      </c>
      <c r="C6231" s="371"/>
      <c r="D6231" s="2716">
        <f t="shared" si="647"/>
        <v>1</v>
      </c>
      <c r="E6231" s="2721" t="s">
        <v>4851</v>
      </c>
      <c r="F6231" s="294"/>
      <c r="G6231" s="308" t="s">
        <v>4856</v>
      </c>
      <c r="H6231" s="309"/>
      <c r="I6231" s="309"/>
      <c r="J6231" s="1476">
        <f t="shared" si="649"/>
        <v>0</v>
      </c>
      <c r="K6231" s="388"/>
      <c r="L6231" s="291"/>
      <c r="M6231" s="291"/>
      <c r="N6231" s="291"/>
      <c r="O6231" s="291"/>
      <c r="S6231" s="364"/>
      <c r="Z6231" s="609" t="s">
        <v>2060</v>
      </c>
      <c r="AA6231" s="609"/>
    </row>
    <row r="6232" spans="1:27" ht="17">
      <c r="A6232" s="2714"/>
      <c r="B6232" s="371">
        <v>102.00700000000001</v>
      </c>
      <c r="C6232" s="371" t="s">
        <v>2791</v>
      </c>
      <c r="D6232" s="2716">
        <f t="shared" si="647"/>
        <v>0</v>
      </c>
      <c r="E6232" s="2721" t="s">
        <v>4851</v>
      </c>
      <c r="F6232" s="294"/>
      <c r="G6232" s="1563" t="s">
        <v>2792</v>
      </c>
      <c r="H6232" s="309"/>
      <c r="I6232" s="309"/>
      <c r="J6232" s="1476">
        <f t="shared" si="649"/>
        <v>0</v>
      </c>
      <c r="K6232" s="388"/>
      <c r="L6232" s="291"/>
      <c r="M6232" s="291"/>
      <c r="N6232" s="291"/>
      <c r="O6232" s="291"/>
      <c r="S6232" s="364"/>
      <c r="Z6232" s="609" t="s">
        <v>2060</v>
      </c>
      <c r="AA6232" s="609"/>
    </row>
    <row r="6233" spans="1:27" ht="26">
      <c r="A6233" s="2714"/>
      <c r="B6233" s="371">
        <v>102.008</v>
      </c>
      <c r="C6233" s="371"/>
      <c r="D6233" s="2716">
        <f t="shared" si="647"/>
        <v>1</v>
      </c>
      <c r="E6233" s="2721" t="s">
        <v>4823</v>
      </c>
      <c r="F6233" s="294"/>
      <c r="G6233" s="308" t="s">
        <v>4857</v>
      </c>
      <c r="H6233" s="309"/>
      <c r="I6233" s="309"/>
      <c r="J6233" s="1476">
        <f t="shared" si="649"/>
        <v>0</v>
      </c>
      <c r="K6233" s="388"/>
      <c r="L6233" s="291"/>
      <c r="M6233" s="291"/>
      <c r="N6233" s="291"/>
      <c r="O6233" s="291"/>
      <c r="S6233" s="364"/>
      <c r="Z6233" s="609" t="s">
        <v>2060</v>
      </c>
      <c r="AA6233" s="609"/>
    </row>
    <row r="6234" spans="1:27" ht="17">
      <c r="A6234" s="2714"/>
      <c r="B6234" s="371">
        <v>102.009</v>
      </c>
      <c r="C6234" s="371"/>
      <c r="D6234" s="2716">
        <f t="shared" si="647"/>
        <v>1</v>
      </c>
      <c r="E6234" s="2721" t="s">
        <v>4851</v>
      </c>
      <c r="F6234" s="294"/>
      <c r="G6234" s="308" t="s">
        <v>4858</v>
      </c>
      <c r="H6234" s="309"/>
      <c r="I6234" s="309"/>
      <c r="J6234" s="1476">
        <f t="shared" si="649"/>
        <v>0</v>
      </c>
      <c r="K6234" s="388"/>
      <c r="L6234" s="291"/>
      <c r="M6234" s="291"/>
      <c r="N6234" s="291"/>
      <c r="O6234" s="291"/>
      <c r="S6234" s="364"/>
      <c r="Z6234" s="609" t="s">
        <v>2060</v>
      </c>
      <c r="AA6234" s="609"/>
    </row>
    <row r="6235" spans="1:27" ht="17">
      <c r="A6235" s="2714"/>
      <c r="B6235" s="371">
        <v>102.01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7">
      <c r="A6236" s="2714"/>
      <c r="B6236" s="371">
        <v>102.999</v>
      </c>
      <c r="C6236" s="371"/>
      <c r="D6236" s="2716">
        <f t="shared" si="647"/>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7">
      <c r="A6237" s="2714"/>
      <c r="B6237" s="371">
        <v>103</v>
      </c>
      <c r="C6237" s="371" t="s">
        <v>2791</v>
      </c>
      <c r="D6237" s="2716">
        <f t="shared" si="647"/>
        <v>0</v>
      </c>
      <c r="E6237" s="2721">
        <v>-1</v>
      </c>
      <c r="F6237" s="294"/>
      <c r="G6237" s="1563" t="s">
        <v>2792</v>
      </c>
      <c r="H6237" s="309"/>
      <c r="I6237" s="309"/>
      <c r="J6237" s="309"/>
      <c r="K6237" s="388"/>
      <c r="L6237" s="291"/>
      <c r="M6237" s="291"/>
      <c r="N6237" s="291"/>
      <c r="O6237" s="291"/>
      <c r="S6237" s="364"/>
      <c r="Z6237" s="609" t="s">
        <v>2060</v>
      </c>
      <c r="AA6237" s="609"/>
    </row>
    <row r="6238" spans="1:27" ht="17.5" thickBot="1">
      <c r="A6238" s="2714"/>
      <c r="B6238" s="371"/>
      <c r="C6238" s="371"/>
      <c r="D6238" s="2716">
        <f t="shared" si="647"/>
        <v>1</v>
      </c>
      <c r="E6238" s="2721" t="s">
        <v>2751</v>
      </c>
      <c r="F6238" s="294"/>
      <c r="G6238" s="1529" t="s">
        <v>2752</v>
      </c>
      <c r="H6238" s="1527">
        <f>SUMPRODUCT($E6214:$E6237,H6214:H6237)</f>
        <v>0</v>
      </c>
      <c r="I6238" s="1527">
        <f>SUMPRODUCT($E6214:$E6237,I6214:I6237)</f>
        <v>0</v>
      </c>
      <c r="J6238" s="1527">
        <f>SUMPRODUCT($E6214:$E6237,J6214:J6237)</f>
        <v>0</v>
      </c>
      <c r="K6238" s="1571"/>
      <c r="L6238" s="291"/>
      <c r="M6238" s="291"/>
      <c r="N6238" s="291"/>
      <c r="O6238" s="291"/>
      <c r="S6238" s="364"/>
      <c r="Z6238" s="609" t="s">
        <v>2060</v>
      </c>
      <c r="AA6238" s="609"/>
    </row>
    <row r="6239" spans="1:27" ht="17">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7">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6">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84"/>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7">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7">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7">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7">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7">
      <c r="A6248" s="2714"/>
      <c r="B6248" s="371"/>
      <c r="C6248" s="371" t="s">
        <v>2755</v>
      </c>
      <c r="D6248" s="371"/>
      <c r="F6248" s="294"/>
      <c r="G6248" s="301"/>
      <c r="H6248" s="315"/>
      <c r="I6248" s="393"/>
      <c r="J6248" s="291"/>
      <c r="K6248" s="291"/>
      <c r="L6248" s="291"/>
      <c r="M6248" s="291"/>
      <c r="S6248" s="364"/>
      <c r="Z6248" s="609" t="s">
        <v>2063</v>
      </c>
      <c r="AA6248" s="609"/>
    </row>
    <row r="6249" spans="1:27" ht="13.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7">
      <c r="A6251" s="2719"/>
      <c r="F6251" s="635" t="s">
        <v>3002</v>
      </c>
      <c r="G6251" s="2507" t="s">
        <v>2661</v>
      </c>
      <c r="H6251" s="2508"/>
      <c r="I6251" s="2509"/>
      <c r="J6251" s="2509"/>
      <c r="K6251" s="2509"/>
      <c r="L6251" s="2509"/>
      <c r="M6251" s="2509"/>
      <c r="N6251" s="2509"/>
      <c r="O6251" s="2509"/>
      <c r="P6251" s="532" t="s">
        <v>4860</v>
      </c>
    </row>
    <row r="6252" spans="1:27" ht="17">
      <c r="A6252" s="2719"/>
      <c r="G6252" s="2510" t="s">
        <v>4861</v>
      </c>
      <c r="H6252" s="2508"/>
      <c r="I6252" s="2508"/>
      <c r="J6252" s="2508"/>
      <c r="K6252" s="2508"/>
      <c r="L6252" s="2510" t="s">
        <v>2533</v>
      </c>
      <c r="M6252" s="2509"/>
      <c r="N6252" s="2509"/>
      <c r="O6252" s="2510" t="s">
        <v>4862</v>
      </c>
    </row>
    <row r="6253" spans="1:27" ht="17">
      <c r="A6253" s="2719"/>
      <c r="E6253" s="2723"/>
      <c r="L6253" s="636"/>
      <c r="O6253" s="636"/>
    </row>
    <row r="6254" spans="1:27" ht="17">
      <c r="A6254" s="2719"/>
      <c r="E6254" s="2723"/>
      <c r="L6254" s="636"/>
      <c r="O6254" s="636"/>
    </row>
    <row r="6255" spans="1:27" ht="17">
      <c r="A6255" s="2719"/>
      <c r="E6255" s="2723"/>
      <c r="L6255" s="636"/>
      <c r="O6255" s="636"/>
    </row>
  </sheetData>
  <sheetProtection algorithmName="SHA-512" hashValue="wFt6vkRtbRa5gunqrpxDa3ZAJSogScGepyu0ikCOY/fOkp9zESiFLc+cgDOcnoeylO7hqFhsbdcLckm8Mpg4AA==" saltValue="nrM2cxxQNk1bfMXl43pBOA=="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0" priority="2816" stopIfTrue="1" operator="equal">
      <formula>0</formula>
    </cfRule>
    <cfRule type="cellIs" dxfId="3839" priority="2817" stopIfTrue="1" operator="notEqual">
      <formula>0</formula>
    </cfRule>
  </conditionalFormatting>
  <conditionalFormatting sqref="P7">
    <cfRule type="cellIs" dxfId="3838" priority="2810" stopIfTrue="1" operator="equal">
      <formula>0</formula>
    </cfRule>
    <cfRule type="cellIs" dxfId="3837"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6"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5" priority="2472" stopIfTrue="1">
      <formula>$I109="适用"</formula>
    </cfRule>
    <cfRule type="expression" dxfId="3834" priority="2473" stopIfTrue="1">
      <formula>$I109="不适用"</formula>
    </cfRule>
  </conditionalFormatting>
  <conditionalFormatting sqref="I317">
    <cfRule type="expression" dxfId="3833" priority="942" stopIfTrue="1">
      <formula>$I317="适用"</formula>
    </cfRule>
    <cfRule type="expression" dxfId="3832" priority="943" stopIfTrue="1">
      <formula>$I317="不适用"</formula>
    </cfRule>
  </conditionalFormatting>
  <conditionalFormatting sqref="I334">
    <cfRule type="expression" dxfId="3831" priority="936" stopIfTrue="1">
      <formula>$I334="适用"</formula>
    </cfRule>
    <cfRule type="expression" dxfId="3830" priority="937" stopIfTrue="1">
      <formula>$I334="不适用"</formula>
    </cfRule>
  </conditionalFormatting>
  <conditionalFormatting sqref="I356">
    <cfRule type="expression" dxfId="3829" priority="930" stopIfTrue="1">
      <formula>$I356="适用"</formula>
    </cfRule>
    <cfRule type="expression" dxfId="3828" priority="931" stopIfTrue="1">
      <formula>$I356="不适用"</formula>
    </cfRule>
  </conditionalFormatting>
  <conditionalFormatting sqref="I378">
    <cfRule type="expression" dxfId="3827" priority="924" stopIfTrue="1">
      <formula>$I378="适用"</formula>
    </cfRule>
    <cfRule type="expression" dxfId="3826" priority="925" stopIfTrue="1">
      <formula>$I378="不适用"</formula>
    </cfRule>
  </conditionalFormatting>
  <conditionalFormatting sqref="I400">
    <cfRule type="expression" dxfId="3825" priority="914" stopIfTrue="1">
      <formula>$I400="适用"</formula>
    </cfRule>
    <cfRule type="expression" dxfId="3824" priority="915" stopIfTrue="1">
      <formula>$I400="不适用"</formula>
    </cfRule>
  </conditionalFormatting>
  <conditionalFormatting sqref="Q515">
    <cfRule type="expression" dxfId="3823"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2" priority="921">
      <formula>$D93&gt;1</formula>
    </cfRule>
    <cfRule type="expression" dxfId="3821" priority="922">
      <formula>$C93="%IN"</formula>
    </cfRule>
    <cfRule type="expression" dxfId="3820" priority="923" stopIfTrue="1">
      <formula>$E93=0</formula>
    </cfRule>
  </conditionalFormatting>
  <conditionalFormatting sqref="Q535">
    <cfRule type="expression" dxfId="3819" priority="4245" stopIfTrue="1">
      <formula>$Q535="请输入"</formula>
    </cfRule>
  </conditionalFormatting>
  <conditionalFormatting sqref="I579">
    <cfRule type="expression" dxfId="3818" priority="908" stopIfTrue="1">
      <formula>$I579="适用"</formula>
    </cfRule>
    <cfRule type="expression" dxfId="3817" priority="909" stopIfTrue="1">
      <formula>$I579="不适用"</formula>
    </cfRule>
  </conditionalFormatting>
  <conditionalFormatting sqref="Q601">
    <cfRule type="expression" dxfId="3816" priority="4249" stopIfTrue="1">
      <formula>$Q601="请输入"</formula>
    </cfRule>
  </conditionalFormatting>
  <conditionalFormatting sqref="I611">
    <cfRule type="expression" dxfId="3815" priority="905" stopIfTrue="1">
      <formula>$I611="适用"</formula>
    </cfRule>
    <cfRule type="expression" dxfId="3814" priority="906" stopIfTrue="1">
      <formula>$I611="不适用"</formula>
    </cfRule>
  </conditionalFormatting>
  <conditionalFormatting sqref="Q618">
    <cfRule type="expression" dxfId="3813"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2" priority="898" stopIfTrue="1">
      <formula>$D505&gt;1</formula>
    </cfRule>
    <cfRule type="expression" dxfId="3811" priority="899" stopIfTrue="1">
      <formula>$C505="%IN"</formula>
    </cfRule>
  </conditionalFormatting>
  <conditionalFormatting sqref="Q629">
    <cfRule type="expression" dxfId="3810" priority="4251" stopIfTrue="1">
      <formula>$Q629="请输入"</formula>
    </cfRule>
  </conditionalFormatting>
  <conditionalFormatting sqref="Q648">
    <cfRule type="expression" dxfId="3809" priority="4252" stopIfTrue="1">
      <formula>$Q648="请输入"</formula>
    </cfRule>
  </conditionalFormatting>
  <conditionalFormatting sqref="Q658">
    <cfRule type="expression" dxfId="3808" priority="4253" stopIfTrue="1">
      <formula>$Q658="请输入"</formula>
    </cfRule>
  </conditionalFormatting>
  <conditionalFormatting sqref="Q668">
    <cfRule type="expression" dxfId="3807" priority="4255" stopIfTrue="1">
      <formula>$Q668="请输入"</formula>
    </cfRule>
  </conditionalFormatting>
  <conditionalFormatting sqref="Q678">
    <cfRule type="expression" dxfId="3806" priority="4256" stopIfTrue="1">
      <formula>$Q678="请输入"</formula>
    </cfRule>
  </conditionalFormatting>
  <conditionalFormatting sqref="I698">
    <cfRule type="expression" dxfId="3805" priority="1012" stopIfTrue="1">
      <formula>$I698="适用"</formula>
    </cfRule>
    <cfRule type="expression" dxfId="3804" priority="1013" stopIfTrue="1">
      <formula>$I698="不适用"</formula>
    </cfRule>
  </conditionalFormatting>
  <conditionalFormatting sqref="I706">
    <cfRule type="expression" dxfId="3803" priority="1009" stopIfTrue="1">
      <formula>$I706="适用"</formula>
    </cfRule>
    <cfRule type="expression" dxfId="3802" priority="1010" stopIfTrue="1">
      <formula>$I706="不适用"</formula>
    </cfRule>
  </conditionalFormatting>
  <conditionalFormatting sqref="I721">
    <cfRule type="expression" dxfId="3801" priority="1006" stopIfTrue="1">
      <formula>$I721="适用"</formula>
    </cfRule>
    <cfRule type="expression" dxfId="3800" priority="1007" stopIfTrue="1">
      <formula>$I721="不适用"</formula>
    </cfRule>
  </conditionalFormatting>
  <conditionalFormatting sqref="I740">
    <cfRule type="expression" dxfId="3799" priority="1003" stopIfTrue="1">
      <formula>$I740="适用"</formula>
    </cfRule>
    <cfRule type="expression" dxfId="3798" priority="1004" stopIfTrue="1">
      <formula>$I740="不适用"</formula>
    </cfRule>
  </conditionalFormatting>
  <conditionalFormatting sqref="I848">
    <cfRule type="expression" dxfId="3797" priority="1000" stopIfTrue="1">
      <formula>$I848="适用"</formula>
    </cfRule>
    <cfRule type="expression" dxfId="3796" priority="1001" stopIfTrue="1">
      <formula>$I848="不适用"</formula>
    </cfRule>
  </conditionalFormatting>
  <conditionalFormatting sqref="Q859">
    <cfRule type="expression" dxfId="3795" priority="4257" stopIfTrue="1">
      <formula>$Q859="请输入"</formula>
    </cfRule>
  </conditionalFormatting>
  <conditionalFormatting sqref="Q871">
    <cfRule type="expression" dxfId="3794" priority="4259" stopIfTrue="1">
      <formula>$Q871="请输入"</formula>
    </cfRule>
  </conditionalFormatting>
  <conditionalFormatting sqref="I900">
    <cfRule type="expression" dxfId="3793" priority="1432" stopIfTrue="1">
      <formula>$I900="适用"</formula>
    </cfRule>
    <cfRule type="expression" dxfId="3792" priority="1433" stopIfTrue="1">
      <formula>$I900="不适用"</formula>
    </cfRule>
  </conditionalFormatting>
  <conditionalFormatting sqref="I934">
    <cfRule type="expression" dxfId="3791" priority="1115" stopIfTrue="1">
      <formula>$I934="适用"</formula>
    </cfRule>
    <cfRule type="expression" dxfId="3790" priority="1116" stopIfTrue="1">
      <formula>$I934="不适用"</formula>
    </cfRule>
  </conditionalFormatting>
  <conditionalFormatting sqref="Q944">
    <cfRule type="expression" dxfId="3789" priority="4264" stopIfTrue="1">
      <formula>$Q944="请输入"</formula>
    </cfRule>
  </conditionalFormatting>
  <conditionalFormatting sqref="Q956">
    <cfRule type="expression" dxfId="3788" priority="4265" stopIfTrue="1">
      <formula>$Q956="请输入"</formula>
    </cfRule>
  </conditionalFormatting>
  <conditionalFormatting sqref="Q967">
    <cfRule type="expression" dxfId="3787" priority="4266" stopIfTrue="1">
      <formula>$Q967="请输入"</formula>
    </cfRule>
  </conditionalFormatting>
  <conditionalFormatting sqref="I977">
    <cfRule type="expression" dxfId="3786" priority="2458" stopIfTrue="1">
      <formula>$I977="适用"</formula>
    </cfRule>
    <cfRule type="expression" dxfId="3785" priority="2459" stopIfTrue="1">
      <formula>$I977="不适用"</formula>
    </cfRule>
  </conditionalFormatting>
  <conditionalFormatting sqref="Q977">
    <cfRule type="expression" dxfId="3784" priority="4267" stopIfTrue="1">
      <formula>$Q977="请输入"</formula>
    </cfRule>
  </conditionalFormatting>
  <conditionalFormatting sqref="I1043">
    <cfRule type="expression" dxfId="3783" priority="977" stopIfTrue="1">
      <formula>$I1043="适用"</formula>
    </cfRule>
    <cfRule type="expression" dxfId="3782" priority="978" stopIfTrue="1">
      <formula>$I1043="不适用"</formula>
    </cfRule>
  </conditionalFormatting>
  <conditionalFormatting sqref="I1219">
    <cfRule type="expression" dxfId="3781" priority="971" stopIfTrue="1">
      <formula>$I1219="适用"</formula>
    </cfRule>
    <cfRule type="expression" dxfId="3780" priority="972" stopIfTrue="1">
      <formula>$I1219="不适用"</formula>
    </cfRule>
  </conditionalFormatting>
  <conditionalFormatting sqref="Q1510">
    <cfRule type="expression" dxfId="3779" priority="4275" stopIfTrue="1">
      <formula>$Q1510="请输入"</formula>
    </cfRule>
  </conditionalFormatting>
  <conditionalFormatting sqref="I1520">
    <cfRule type="expression" dxfId="3778" priority="947" stopIfTrue="1">
      <formula>$I1520="适用"</formula>
    </cfRule>
    <cfRule type="expression" dxfId="3777" priority="948" stopIfTrue="1">
      <formula>$I1520="不适用"</formula>
    </cfRule>
  </conditionalFormatting>
  <conditionalFormatting sqref="Q1527">
    <cfRule type="expression" dxfId="3776" priority="4276" stopIfTrue="1">
      <formula>$Q1527="请输入"</formula>
    </cfRule>
  </conditionalFormatting>
  <conditionalFormatting sqref="Q1538">
    <cfRule type="expression" dxfId="3775" priority="4278" stopIfTrue="1">
      <formula>$Q1538="请输入"</formula>
    </cfRule>
  </conditionalFormatting>
  <conditionalFormatting sqref="Q1557">
    <cfRule type="expression" dxfId="3774" priority="4279" stopIfTrue="1">
      <formula>$Q1557="请输入"</formula>
    </cfRule>
  </conditionalFormatting>
  <conditionalFormatting sqref="Q1567">
    <cfRule type="expression" dxfId="3773" priority="4280" stopIfTrue="1">
      <formula>$Q1567="请输入"</formula>
    </cfRule>
  </conditionalFormatting>
  <conditionalFormatting sqref="Q1577">
    <cfRule type="expression" dxfId="3772" priority="4281" stopIfTrue="1">
      <formula>$Q1577="请输入"</formula>
    </cfRule>
  </conditionalFormatting>
  <conditionalFormatting sqref="Q1587">
    <cfRule type="expression" dxfId="3771" priority="4283" stopIfTrue="1">
      <formula>$Q1587="请输入"</formula>
    </cfRule>
  </conditionalFormatting>
  <conditionalFormatting sqref="Q1597">
    <cfRule type="expression" dxfId="3770" priority="4284" stopIfTrue="1">
      <formula>$Q1597="请输入"</formula>
    </cfRule>
  </conditionalFormatting>
  <conditionalFormatting sqref="Q1617">
    <cfRule type="expression" dxfId="3769" priority="4285" stopIfTrue="1">
      <formula>$Q1617="请输入"</formula>
    </cfRule>
  </conditionalFormatting>
  <conditionalFormatting sqref="Q1636">
    <cfRule type="expression" dxfId="3768" priority="4286" stopIfTrue="1">
      <formula>$Q1636="请输入"</formula>
    </cfRule>
  </conditionalFormatting>
  <conditionalFormatting sqref="Q1682">
    <cfRule type="expression" dxfId="3767" priority="4289" stopIfTrue="1">
      <formula>$Q1682="请输入"</formula>
    </cfRule>
  </conditionalFormatting>
  <conditionalFormatting sqref="Q1699">
    <cfRule type="expression" dxfId="3766" priority="4290" stopIfTrue="1">
      <formula>$Q1699="请输入"</formula>
    </cfRule>
  </conditionalFormatting>
  <conditionalFormatting sqref="Q1716">
    <cfRule type="expression" dxfId="3765" priority="4291" stopIfTrue="1">
      <formula>$Q1716="请输入"</formula>
    </cfRule>
  </conditionalFormatting>
  <conditionalFormatting sqref="I1753">
    <cfRule type="expression" dxfId="3764" priority="1426" stopIfTrue="1">
      <formula>$I1753="适用"</formula>
    </cfRule>
    <cfRule type="expression" dxfId="3763" priority="1427" stopIfTrue="1">
      <formula>$I1753="不适用"</formula>
    </cfRule>
  </conditionalFormatting>
  <conditionalFormatting sqref="Q1753">
    <cfRule type="expression" dxfId="3762" priority="4294" stopIfTrue="1">
      <formula>$Q1753="请输入"</formula>
    </cfRule>
  </conditionalFormatting>
  <conditionalFormatting sqref="I1790">
    <cfRule type="expression" dxfId="3761" priority="2394" stopIfTrue="1">
      <formula>$I1790="适用"</formula>
    </cfRule>
    <cfRule type="expression" dxfId="3760" priority="2395" stopIfTrue="1">
      <formula>$I1790="不适用"</formula>
    </cfRule>
  </conditionalFormatting>
  <conditionalFormatting sqref="Q1790">
    <cfRule type="expression" dxfId="3759" priority="4300" stopIfTrue="1">
      <formula>$Q1790="请输入"</formula>
    </cfRule>
  </conditionalFormatting>
  <conditionalFormatting sqref="I1799">
    <cfRule type="expression" dxfId="3758" priority="884" stopIfTrue="1">
      <formula>$I1799="适用"</formula>
    </cfRule>
    <cfRule type="expression" dxfId="3757" priority="885" stopIfTrue="1">
      <formula>$I1799="不适用"</formula>
    </cfRule>
  </conditionalFormatting>
  <conditionalFormatting sqref="Q1812">
    <cfRule type="expression" dxfId="3756" priority="4301" stopIfTrue="1">
      <formula>$Q1812="请输入"</formula>
    </cfRule>
  </conditionalFormatting>
  <conditionalFormatting sqref="I1823">
    <cfRule type="expression" dxfId="3755" priority="881" stopIfTrue="1">
      <formula>$I1823="适用"</formula>
    </cfRule>
    <cfRule type="expression" dxfId="3754" priority="882" stopIfTrue="1">
      <formula>$I1823="不适用"</formula>
    </cfRule>
  </conditionalFormatting>
  <conditionalFormatting sqref="I1838">
    <cfRule type="expression" dxfId="3753" priority="878" stopIfTrue="1">
      <formula>$I1838="适用"</formula>
    </cfRule>
    <cfRule type="expression" dxfId="3752" priority="879" stopIfTrue="1">
      <formula>$I1838="不适用"</formula>
    </cfRule>
  </conditionalFormatting>
  <conditionalFormatting sqref="I1853">
    <cfRule type="expression" dxfId="3751" priority="875" stopIfTrue="1">
      <formula>$I1853="适用"</formula>
    </cfRule>
    <cfRule type="expression" dxfId="3750" priority="876" stopIfTrue="1">
      <formula>$I1853="不适用"</formula>
    </cfRule>
  </conditionalFormatting>
  <conditionalFormatting sqref="I1927">
    <cfRule type="expression" dxfId="3749" priority="860" stopIfTrue="1">
      <formula>$I1927="适用"</formula>
    </cfRule>
    <cfRule type="expression" dxfId="3748" priority="861" stopIfTrue="1">
      <formula>$I1927="不适用"</formula>
    </cfRule>
  </conditionalFormatting>
  <conditionalFormatting sqref="Q1947">
    <cfRule type="expression" dxfId="3747" priority="4302" stopIfTrue="1">
      <formula>$Q1947="请输入"</formula>
    </cfRule>
  </conditionalFormatting>
  <conditionalFormatting sqref="I1961">
    <cfRule type="expression" dxfId="3746" priority="2386" stopIfTrue="1">
      <formula>$I1961="适用"</formula>
    </cfRule>
    <cfRule type="expression" dxfId="3745" priority="2387" stopIfTrue="1">
      <formula>$I1961="不适用"</formula>
    </cfRule>
  </conditionalFormatting>
  <conditionalFormatting sqref="Q1961">
    <cfRule type="expression" dxfId="3744" priority="4303" stopIfTrue="1">
      <formula>$Q1961="请输入"</formula>
    </cfRule>
  </conditionalFormatting>
  <conditionalFormatting sqref="I1971">
    <cfRule type="expression" dxfId="3743" priority="827" stopIfTrue="1">
      <formula>$I1971="适用"</formula>
    </cfRule>
    <cfRule type="expression" dxfId="3742" priority="828" stopIfTrue="1">
      <formula>$I1971="不适用"</formula>
    </cfRule>
  </conditionalFormatting>
  <conditionalFormatting sqref="I1986">
    <cfRule type="expression" dxfId="3741" priority="824" stopIfTrue="1">
      <formula>$I1986="适用"</formula>
    </cfRule>
    <cfRule type="expression" dxfId="3740" priority="825" stopIfTrue="1">
      <formula>$I1986="不适用"</formula>
    </cfRule>
  </conditionalFormatting>
  <conditionalFormatting sqref="I2001">
    <cfRule type="expression" dxfId="3739" priority="821" stopIfTrue="1">
      <formula>$I2001="适用"</formula>
    </cfRule>
    <cfRule type="expression" dxfId="3738" priority="822" stopIfTrue="1">
      <formula>$I2001="不适用"</formula>
    </cfRule>
  </conditionalFormatting>
  <conditionalFormatting sqref="Q2013">
    <cfRule type="expression" dxfId="3737" priority="4305" stopIfTrue="1">
      <formula>$Q2013="请输入"</formula>
    </cfRule>
  </conditionalFormatting>
  <conditionalFormatting sqref="I2021">
    <cfRule type="expression" dxfId="3736" priority="2370" stopIfTrue="1">
      <formula>$I2021="适用"</formula>
    </cfRule>
    <cfRule type="expression" dxfId="3735" priority="2371" stopIfTrue="1">
      <formula>$I2021="不适用"</formula>
    </cfRule>
  </conditionalFormatting>
  <conditionalFormatting sqref="Q2021">
    <cfRule type="expression" dxfId="3734" priority="4309" stopIfTrue="1">
      <formula>$Q2021="请输入"</formula>
    </cfRule>
  </conditionalFormatting>
  <conditionalFormatting sqref="I2032">
    <cfRule type="expression" dxfId="3733" priority="818" stopIfTrue="1">
      <formula>$I2032="适用"</formula>
    </cfRule>
    <cfRule type="expression" dxfId="3732" priority="819" stopIfTrue="1">
      <formula>$I2032="不适用"</formula>
    </cfRule>
  </conditionalFormatting>
  <conditionalFormatting sqref="I2048">
    <cfRule type="expression" dxfId="3731" priority="811" stopIfTrue="1">
      <formula>$I2048="适用"</formula>
    </cfRule>
    <cfRule type="expression" dxfId="3730" priority="812" stopIfTrue="1">
      <formula>$I2048="不适用"</formula>
    </cfRule>
  </conditionalFormatting>
  <conditionalFormatting sqref="I2063">
    <cfRule type="expression" dxfId="3729" priority="808" stopIfTrue="1">
      <formula>$I2063="适用"</formula>
    </cfRule>
    <cfRule type="expression" dxfId="3728" priority="809" stopIfTrue="1">
      <formula>$I2063="不适用"</formula>
    </cfRule>
  </conditionalFormatting>
  <conditionalFormatting sqref="I2137">
    <cfRule type="expression" dxfId="3727" priority="796" stopIfTrue="1">
      <formula>$I2137="适用"</formula>
    </cfRule>
    <cfRule type="expression" dxfId="3726" priority="797" stopIfTrue="1">
      <formula>$I2137="不适用"</formula>
    </cfRule>
  </conditionalFormatting>
  <conditionalFormatting sqref="Q2157">
    <cfRule type="expression" dxfId="3725" priority="4310" stopIfTrue="1">
      <formula>$Q2157="请输入"</formula>
    </cfRule>
  </conditionalFormatting>
  <conditionalFormatting sqref="I2171">
    <cfRule type="expression" dxfId="3724" priority="2360" stopIfTrue="1">
      <formula>$I2171="适用"</formula>
    </cfRule>
    <cfRule type="expression" dxfId="3723" priority="2361" stopIfTrue="1">
      <formula>$I2171="不适用"</formula>
    </cfRule>
  </conditionalFormatting>
  <conditionalFormatting sqref="Q2171">
    <cfRule type="expression" dxfId="3722" priority="4311" stopIfTrue="1">
      <formula>$Q2171="请输入"</formula>
    </cfRule>
  </conditionalFormatting>
  <conditionalFormatting sqref="I2181">
    <cfRule type="expression" dxfId="3721" priority="2354" stopIfTrue="1">
      <formula>$I2181="适用"</formula>
    </cfRule>
    <cfRule type="expression" dxfId="3720" priority="2355" stopIfTrue="1">
      <formula>$I2181="不适用"</formula>
    </cfRule>
  </conditionalFormatting>
  <conditionalFormatting sqref="Q2181">
    <cfRule type="expression" dxfId="3719" priority="4312" stopIfTrue="1">
      <formula>$Q2181="请输入"</formula>
    </cfRule>
  </conditionalFormatting>
  <conditionalFormatting sqref="Q2202">
    <cfRule type="expression" dxfId="3718" priority="4313" stopIfTrue="1">
      <formula>$Q2202="请输入"</formula>
    </cfRule>
  </conditionalFormatting>
  <conditionalFormatting sqref="I2234">
    <cfRule type="expression" dxfId="3717" priority="772" stopIfTrue="1">
      <formula>$I2234="适用"</formula>
    </cfRule>
    <cfRule type="expression" dxfId="3716" priority="773" stopIfTrue="1">
      <formula>$I2234="不适用"</formula>
    </cfRule>
  </conditionalFormatting>
  <conditionalFormatting sqref="I2247">
    <cfRule type="expression" dxfId="3715" priority="769" stopIfTrue="1">
      <formula>$I2247="适用"</formula>
    </cfRule>
    <cfRule type="expression" dxfId="3714" priority="770" stopIfTrue="1">
      <formula>$I2247="不适用"</formula>
    </cfRule>
  </conditionalFormatting>
  <conditionalFormatting sqref="I2260">
    <cfRule type="expression" dxfId="3713" priority="763" stopIfTrue="1">
      <formula>$I2260="适用"</formula>
    </cfRule>
    <cfRule type="expression" dxfId="3712" priority="764" stopIfTrue="1">
      <formula>$I2260="不适用"</formula>
    </cfRule>
  </conditionalFormatting>
  <conditionalFormatting sqref="I2273">
    <cfRule type="expression" dxfId="3711" priority="745" stopIfTrue="1">
      <formula>$I2273="适用"</formula>
    </cfRule>
    <cfRule type="expression" dxfId="3710" priority="746" stopIfTrue="1">
      <formula>$I2273="不适用"</formula>
    </cfRule>
  </conditionalFormatting>
  <conditionalFormatting sqref="I2293">
    <cfRule type="expression" dxfId="3709" priority="742" stopIfTrue="1">
      <formula>$I2293="适用"</formula>
    </cfRule>
    <cfRule type="expression" dxfId="3708" priority="743" stopIfTrue="1">
      <formula>$I2293="不适用"</formula>
    </cfRule>
  </conditionalFormatting>
  <conditionalFormatting sqref="I2349">
    <cfRule type="expression" dxfId="3707" priority="739" stopIfTrue="1">
      <formula>$I2349="适用"</formula>
    </cfRule>
    <cfRule type="expression" dxfId="3706" priority="740" stopIfTrue="1">
      <formula>$I2349="不适用"</formula>
    </cfRule>
  </conditionalFormatting>
  <conditionalFormatting sqref="I2378">
    <cfRule type="expression" dxfId="3705" priority="727" stopIfTrue="1">
      <formula>$I2378="适用"</formula>
    </cfRule>
    <cfRule type="expression" dxfId="3704" priority="728" stopIfTrue="1">
      <formula>$I2378="不适用"</formula>
    </cfRule>
  </conditionalFormatting>
  <conditionalFormatting sqref="I2391">
    <cfRule type="expression" dxfId="3703" priority="2757" stopIfTrue="1">
      <formula>$I2391="适用"</formula>
    </cfRule>
    <cfRule type="expression" dxfId="3702" priority="2758" stopIfTrue="1">
      <formula>$I2391="不适用"</formula>
    </cfRule>
  </conditionalFormatting>
  <conditionalFormatting sqref="Q2391">
    <cfRule type="expression" dxfId="3701" priority="4314" stopIfTrue="1">
      <formula>$Q2391="请输入"</formula>
    </cfRule>
  </conditionalFormatting>
  <conditionalFormatting sqref="I2401">
    <cfRule type="expression" dxfId="3700" priority="1964" stopIfTrue="1">
      <formula>$I2401="适用"</formula>
    </cfRule>
    <cfRule type="expression" dxfId="3699" priority="1965" stopIfTrue="1">
      <formula>$I2401="不适用"</formula>
    </cfRule>
  </conditionalFormatting>
  <conditionalFormatting sqref="Q2401">
    <cfRule type="expression" dxfId="3698" priority="4318" stopIfTrue="1">
      <formula>$Q2401="请输入"</formula>
    </cfRule>
  </conditionalFormatting>
  <conditionalFormatting sqref="I2497">
    <cfRule type="expression" dxfId="3697" priority="724" stopIfTrue="1">
      <formula>$I2497="适用"</formula>
    </cfRule>
    <cfRule type="expression" dxfId="3696" priority="725" stopIfTrue="1">
      <formula>$I2497="不适用"</formula>
    </cfRule>
  </conditionalFormatting>
  <conditionalFormatting sqref="I2506">
    <cfRule type="expression" dxfId="3695" priority="721" stopIfTrue="1">
      <formula>$I2506="适用"</formula>
    </cfRule>
    <cfRule type="expression" dxfId="3694" priority="722" stopIfTrue="1">
      <formula>$I2506="不适用"</formula>
    </cfRule>
  </conditionalFormatting>
  <conditionalFormatting sqref="I2520">
    <cfRule type="expression" dxfId="3693" priority="718" stopIfTrue="1">
      <formula>$I2520="适用"</formula>
    </cfRule>
    <cfRule type="expression" dxfId="3692" priority="719" stopIfTrue="1">
      <formula>$I2520="不适用"</formula>
    </cfRule>
  </conditionalFormatting>
  <conditionalFormatting sqref="Q2599">
    <cfRule type="expression" dxfId="3691" priority="4333" stopIfTrue="1">
      <formula>$Q2599="请输入"</formula>
    </cfRule>
  </conditionalFormatting>
  <conditionalFormatting sqref="Q2618">
    <cfRule type="expression" dxfId="3690" priority="4334" stopIfTrue="1">
      <formula>$Q2618="请输入"</formula>
    </cfRule>
  </conditionalFormatting>
  <conditionalFormatting sqref="I2639">
    <cfRule type="expression" dxfId="3689" priority="1110" stopIfTrue="1">
      <formula>$I2639="适用"</formula>
    </cfRule>
    <cfRule type="expression" dxfId="3688" priority="1111" stopIfTrue="1">
      <formula>$I2639="不适用"</formula>
    </cfRule>
  </conditionalFormatting>
  <conditionalFormatting sqref="Q2761">
    <cfRule type="expression" dxfId="3687" priority="4343" stopIfTrue="1">
      <formula>$Q2761="请输入"</formula>
    </cfRule>
  </conditionalFormatting>
  <conditionalFormatting sqref="I2781">
    <cfRule type="expression" dxfId="3686" priority="1418" stopIfTrue="1">
      <formula>$I2781="适用"</formula>
    </cfRule>
    <cfRule type="expression" dxfId="3685" priority="1419" stopIfTrue="1">
      <formula>$I2781="不适用"</formula>
    </cfRule>
  </conditionalFormatting>
  <conditionalFormatting sqref="I2797">
    <cfRule type="expression" dxfId="3684" priority="682" stopIfTrue="1">
      <formula>$I2797="适用"</formula>
    </cfRule>
    <cfRule type="expression" dxfId="3683" priority="683" stopIfTrue="1">
      <formula>$I2797="不适用"</formula>
    </cfRule>
  </conditionalFormatting>
  <conditionalFormatting sqref="I2821">
    <cfRule type="expression" dxfId="3682" priority="1105" stopIfTrue="1">
      <formula>$I2821="适用"</formula>
    </cfRule>
    <cfRule type="expression" dxfId="3681" priority="1106" stopIfTrue="1">
      <formula>$I2821="不适用"</formula>
    </cfRule>
  </conditionalFormatting>
  <conditionalFormatting sqref="Q2830">
    <cfRule type="expression" dxfId="3680" priority="4346" stopIfTrue="1">
      <formula>$Q2830="请输入"</formula>
    </cfRule>
  </conditionalFormatting>
  <conditionalFormatting sqref="Q2847">
    <cfRule type="expression" dxfId="3679" priority="4347" stopIfTrue="1">
      <formula>$Q2847="请输入"</formula>
    </cfRule>
  </conditionalFormatting>
  <conditionalFormatting sqref="Q2862">
    <cfRule type="expression" dxfId="3678" priority="4348" stopIfTrue="1">
      <formula>$Q2862="请输入"</formula>
    </cfRule>
  </conditionalFormatting>
  <conditionalFormatting sqref="I2877">
    <cfRule type="expression" dxfId="3677" priority="673" stopIfTrue="1">
      <formula>$I2877="适用"</formula>
    </cfRule>
    <cfRule type="expression" dxfId="3676" priority="674" stopIfTrue="1">
      <formula>$I2877="不适用"</formula>
    </cfRule>
  </conditionalFormatting>
  <conditionalFormatting sqref="Q2897">
    <cfRule type="expression" dxfId="3675" priority="4349" stopIfTrue="1">
      <formula>$Q2897="请输入"</formula>
    </cfRule>
  </conditionalFormatting>
  <conditionalFormatting sqref="I2908">
    <cfRule type="expression" dxfId="3674" priority="1077" stopIfTrue="1">
      <formula>$I2908="适用"</formula>
    </cfRule>
    <cfRule type="expression" dxfId="3673" priority="1078" stopIfTrue="1">
      <formula>$I2908="不适用"</formula>
    </cfRule>
  </conditionalFormatting>
  <conditionalFormatting sqref="I2920">
    <cfRule type="expression" dxfId="3672" priority="2086" stopIfTrue="1">
      <formula>$I2920="适用"</formula>
    </cfRule>
    <cfRule type="expression" dxfId="3671" priority="2087" stopIfTrue="1">
      <formula>$I2920="不适用"</formula>
    </cfRule>
  </conditionalFormatting>
  <conditionalFormatting sqref="Q2920">
    <cfRule type="expression" dxfId="3670" priority="4352" stopIfTrue="1">
      <formula>$Q2920="请输入"</formula>
    </cfRule>
  </conditionalFormatting>
  <conditionalFormatting sqref="Q2982">
    <cfRule type="expression" dxfId="3669" priority="4356" stopIfTrue="1">
      <formula>$Q2982="请输入"</formula>
    </cfRule>
  </conditionalFormatting>
  <conditionalFormatting sqref="I3006">
    <cfRule type="expression" dxfId="3668" priority="670" stopIfTrue="1">
      <formula>$I3006="适用"</formula>
    </cfRule>
    <cfRule type="expression" dxfId="3667" priority="671" stopIfTrue="1">
      <formula>$I3006="不适用"</formula>
    </cfRule>
  </conditionalFormatting>
  <conditionalFormatting sqref="I3043">
    <cfRule type="expression" dxfId="3666" priority="2270" stopIfTrue="1">
      <formula>$I3043="适用"</formula>
    </cfRule>
    <cfRule type="expression" dxfId="3665" priority="2271" stopIfTrue="1">
      <formula>$I3043="不适用"</formula>
    </cfRule>
  </conditionalFormatting>
  <conditionalFormatting sqref="Q3043">
    <cfRule type="expression" dxfId="3664" priority="4358" stopIfTrue="1">
      <formula>$Q3043="请输入"</formula>
    </cfRule>
  </conditionalFormatting>
  <conditionalFormatting sqref="I3113">
    <cfRule type="expression" dxfId="3663" priority="658" stopIfTrue="1">
      <formula>$I3113="适用"</formula>
    </cfRule>
    <cfRule type="expression" dxfId="3662" priority="659" stopIfTrue="1">
      <formula>$I3113="不适用"</formula>
    </cfRule>
  </conditionalFormatting>
  <conditionalFormatting sqref="I3126">
    <cfRule type="expression" dxfId="3661" priority="2254" stopIfTrue="1">
      <formula>$I3126="适用"</formula>
    </cfRule>
    <cfRule type="expression" dxfId="3660" priority="2255" stopIfTrue="1">
      <formula>$I3126="不适用"</formula>
    </cfRule>
  </conditionalFormatting>
  <conditionalFormatting sqref="Q3126">
    <cfRule type="expression" dxfId="3659" priority="4361" stopIfTrue="1">
      <formula>$Q3126="请输入"</formula>
    </cfRule>
  </conditionalFormatting>
  <conditionalFormatting sqref="I3162">
    <cfRule type="expression" dxfId="3658" priority="1410" stopIfTrue="1">
      <formula>$I3162="适用"</formula>
    </cfRule>
    <cfRule type="expression" dxfId="3657" priority="1411" stopIfTrue="1">
      <formula>$I3162="不适用"</formula>
    </cfRule>
  </conditionalFormatting>
  <conditionalFormatting sqref="Q3175">
    <cfRule type="expression" dxfId="3656" priority="4365" stopIfTrue="1">
      <formula>$Q3175="请输入"</formula>
    </cfRule>
  </conditionalFormatting>
  <conditionalFormatting sqref="Q3188">
    <cfRule type="expression" dxfId="3655" priority="4366" stopIfTrue="1">
      <formula>$Q3188="请输入"</formula>
    </cfRule>
  </conditionalFormatting>
  <conditionalFormatting sqref="I3200">
    <cfRule type="expression" dxfId="3654" priority="2220" stopIfTrue="1">
      <formula>$I3200="适用"</formula>
    </cfRule>
    <cfRule type="expression" dxfId="3653" priority="2221" stopIfTrue="1">
      <formula>$I3200="不适用"</formula>
    </cfRule>
  </conditionalFormatting>
  <conditionalFormatting sqref="Q3200">
    <cfRule type="expression" dxfId="3652" priority="4367" stopIfTrue="1">
      <formula>$Q3200="请输入"</formula>
    </cfRule>
  </conditionalFormatting>
  <conditionalFormatting sqref="Q3213">
    <cfRule type="expression" dxfId="3651" priority="4368" stopIfTrue="1">
      <formula>$Q3213="请输入"</formula>
    </cfRule>
  </conditionalFormatting>
  <conditionalFormatting sqref="I3225">
    <cfRule type="expression" dxfId="3650" priority="1404" stopIfTrue="1">
      <formula>$I3225="适用"</formula>
    </cfRule>
    <cfRule type="expression" dxfId="3649" priority="1405" stopIfTrue="1">
      <formula>$I3225="不适用"</formula>
    </cfRule>
  </conditionalFormatting>
  <conditionalFormatting sqref="Q3240">
    <cfRule type="expression" dxfId="3648" priority="4369" stopIfTrue="1">
      <formula>$Q3240="请输入"</formula>
    </cfRule>
  </conditionalFormatting>
  <conditionalFormatting sqref="Q3256">
    <cfRule type="expression" dxfId="3647" priority="4370" stopIfTrue="1">
      <formula>$Q3256="请输入"</formula>
    </cfRule>
  </conditionalFormatting>
  <conditionalFormatting sqref="Q3269">
    <cfRule type="expression" dxfId="3646" priority="4371" stopIfTrue="1">
      <formula>$Q3269="请输入"</formula>
    </cfRule>
  </conditionalFormatting>
  <conditionalFormatting sqref="Q3276">
    <cfRule type="expression" dxfId="3645" priority="4372" stopIfTrue="1">
      <formula>$Q3276="请输入"</formula>
    </cfRule>
  </conditionalFormatting>
  <conditionalFormatting sqref="Q3286">
    <cfRule type="expression" dxfId="3644" priority="4373" stopIfTrue="1">
      <formula>$Q3286="请输入"</formula>
    </cfRule>
  </conditionalFormatting>
  <conditionalFormatting sqref="H3301">
    <cfRule type="expression" dxfId="3643" priority="4226">
      <formula>AND(H$3301&lt;&gt;0,H$3301&lt;&gt;"")</formula>
    </cfRule>
    <cfRule type="expression" dxfId="3642" priority="4227" stopIfTrue="1">
      <formula>H$3302&lt;&gt;"√"</formula>
    </cfRule>
  </conditionalFormatting>
  <conditionalFormatting sqref="I3301">
    <cfRule type="expression" dxfId="3641" priority="4228">
      <formula>AND(I$3301&lt;&gt;0,I$3301&lt;&gt;"")</formula>
    </cfRule>
    <cfRule type="expression" dxfId="3640" priority="4229" stopIfTrue="1">
      <formula>I$3302&lt;&gt;"√"</formula>
    </cfRule>
  </conditionalFormatting>
  <conditionalFormatting sqref="K3303">
    <cfRule type="expression" dxfId="3639" priority="4230">
      <formula>AND($K$3303&lt;&gt;0,$K$3303&lt;&gt;"")</formula>
    </cfRule>
    <cfRule type="expression" dxfId="3638" priority="4231" stopIfTrue="1">
      <formula>$L$3303&lt;&gt;"√"</formula>
    </cfRule>
  </conditionalFormatting>
  <conditionalFormatting sqref="Q3306">
    <cfRule type="expression" dxfId="3637" priority="4374" stopIfTrue="1">
      <formula>$Q3306="请输入"</formula>
    </cfRule>
  </conditionalFormatting>
  <conditionalFormatting sqref="Q3319">
    <cfRule type="expression" dxfId="3636" priority="4375" stopIfTrue="1">
      <formula>$Q3319="请输入"</formula>
    </cfRule>
  </conditionalFormatting>
  <conditionalFormatting sqref="I3329">
    <cfRule type="expression" dxfId="3635" priority="1794" stopIfTrue="1">
      <formula>$I3329="适用"</formula>
    </cfRule>
    <cfRule type="expression" dxfId="3634" priority="1795" stopIfTrue="1">
      <formula>$I3329="不适用"</formula>
    </cfRule>
  </conditionalFormatting>
  <conditionalFormatting sqref="I3339">
    <cfRule type="expression" dxfId="3633" priority="1788" stopIfTrue="1">
      <formula>$I3339="适用"</formula>
    </cfRule>
    <cfRule type="expression" dxfId="3632" priority="1789" stopIfTrue="1">
      <formula>$I3339="不适用"</formula>
    </cfRule>
  </conditionalFormatting>
  <conditionalFormatting sqref="I3349">
    <cfRule type="expression" dxfId="3631" priority="1782" stopIfTrue="1">
      <formula>$I3349="适用"</formula>
    </cfRule>
    <cfRule type="expression" dxfId="3630" priority="1783" stopIfTrue="1">
      <formula>$I3349="不适用"</formula>
    </cfRule>
  </conditionalFormatting>
  <conditionalFormatting sqref="I3370">
    <cfRule type="expression" dxfId="3629" priority="2745" stopIfTrue="1">
      <formula>$I3370="适用"</formula>
    </cfRule>
    <cfRule type="expression" dxfId="3628" priority="2746" stopIfTrue="1">
      <formula>$I3370="不适用"</formula>
    </cfRule>
  </conditionalFormatting>
  <conditionalFormatting sqref="Q3370">
    <cfRule type="expression" dxfId="3627" priority="4380" stopIfTrue="1">
      <formula>$Q3370="请输入"</formula>
    </cfRule>
  </conditionalFormatting>
  <conditionalFormatting sqref="I3381">
    <cfRule type="expression" dxfId="3626" priority="655" stopIfTrue="1">
      <formula>$I3381="适用"</formula>
    </cfRule>
    <cfRule type="expression" dxfId="3625" priority="656" stopIfTrue="1">
      <formula>$I3381="不适用"</formula>
    </cfRule>
  </conditionalFormatting>
  <conditionalFormatting sqref="I3394">
    <cfRule type="expression" dxfId="3624" priority="652" stopIfTrue="1">
      <formula>$I3394="适用"</formula>
    </cfRule>
    <cfRule type="expression" dxfId="3623" priority="653" stopIfTrue="1">
      <formula>$I3394="不适用"</formula>
    </cfRule>
  </conditionalFormatting>
  <conditionalFormatting sqref="Q3409">
    <cfRule type="expression" dxfId="3622" priority="4381" stopIfTrue="1">
      <formula>$Q3409="请输入"</formula>
    </cfRule>
  </conditionalFormatting>
  <conditionalFormatting sqref="I3421">
    <cfRule type="expression" dxfId="3621" priority="2210" stopIfTrue="1">
      <formula>$I3421="适用"</formula>
    </cfRule>
    <cfRule type="expression" dxfId="3620" priority="2211" stopIfTrue="1">
      <formula>$I3421="不适用"</formula>
    </cfRule>
  </conditionalFormatting>
  <conditionalFormatting sqref="Q3421">
    <cfRule type="expression" dxfId="3619" priority="4382" stopIfTrue="1">
      <formula>$Q3421="请输入"</formula>
    </cfRule>
  </conditionalFormatting>
  <conditionalFormatting sqref="Q3432">
    <cfRule type="expression" dxfId="3618" priority="4383" stopIfTrue="1">
      <formula>$Q3432="请输入"</formula>
    </cfRule>
  </conditionalFormatting>
  <conditionalFormatting sqref="I3443">
    <cfRule type="expression" dxfId="3617" priority="2720" stopIfTrue="1">
      <formula>$I3443="适用"</formula>
    </cfRule>
    <cfRule type="expression" dxfId="3616" priority="2721" stopIfTrue="1">
      <formula>$I3443="不适用"</formula>
    </cfRule>
    <cfRule type="expression" dxfId="3615" priority="2727" stopIfTrue="1">
      <formula>$I3443="适用"</formula>
    </cfRule>
    <cfRule type="expression" dxfId="3614" priority="2728" stopIfTrue="1">
      <formula>$I3443="不适用"</formula>
    </cfRule>
  </conditionalFormatting>
  <conditionalFormatting sqref="Q3443">
    <cfRule type="expression" dxfId="3613" priority="4384" stopIfTrue="1">
      <formula>$Q3443="请输入"</formula>
    </cfRule>
  </conditionalFormatting>
  <conditionalFormatting sqref="I3454">
    <cfRule type="expression" dxfId="3612" priority="1506" stopIfTrue="1">
      <formula>$I3454="适用"</formula>
    </cfRule>
    <cfRule type="expression" dxfId="3611" priority="1507" stopIfTrue="1">
      <formula>$I3454="不适用"</formula>
    </cfRule>
    <cfRule type="expression" dxfId="3610" priority="1508" stopIfTrue="1">
      <formula>$I3454="适用"</formula>
    </cfRule>
    <cfRule type="expression" dxfId="3609" priority="1509" stopIfTrue="1">
      <formula>$I3454="不适用"</formula>
    </cfRule>
  </conditionalFormatting>
  <conditionalFormatting sqref="I3471">
    <cfRule type="expression" dxfId="3608" priority="1462" stopIfTrue="1">
      <formula>$I3471="适用"</formula>
    </cfRule>
    <cfRule type="expression" dxfId="3607" priority="1463" stopIfTrue="1">
      <formula>$I3471="不适用"</formula>
    </cfRule>
  </conditionalFormatting>
  <conditionalFormatting sqref="Q3471">
    <cfRule type="expression" dxfId="3606" priority="4386" stopIfTrue="1">
      <formula>$Q3471="请输入"</formula>
    </cfRule>
  </conditionalFormatting>
  <conditionalFormatting sqref="Q3481">
    <cfRule type="expression" dxfId="3605" priority="4387" stopIfTrue="1">
      <formula>$Q3481="请输入"</formula>
    </cfRule>
  </conditionalFormatting>
  <conditionalFormatting sqref="Q3491">
    <cfRule type="expression" dxfId="3604" priority="4388" stopIfTrue="1">
      <formula>$Q3491="请输入"</formula>
    </cfRule>
  </conditionalFormatting>
  <conditionalFormatting sqref="I3531">
    <cfRule type="expression" dxfId="3603" priority="2677" stopIfTrue="1">
      <formula>$I3531="适用"</formula>
    </cfRule>
    <cfRule type="expression" dxfId="3602" priority="2678" stopIfTrue="1">
      <formula>$I3531="不适用"</formula>
    </cfRule>
    <cfRule type="expression" dxfId="3601" priority="2685" stopIfTrue="1">
      <formula>$I3531="适用"</formula>
    </cfRule>
    <cfRule type="expression" dxfId="3600" priority="2686" stopIfTrue="1">
      <formula>$I3531="不适用"</formula>
    </cfRule>
  </conditionalFormatting>
  <conditionalFormatting sqref="Q3531">
    <cfRule type="expression" dxfId="3599" priority="4390" stopIfTrue="1">
      <formula>$Q3531="请输入"</formula>
    </cfRule>
  </conditionalFormatting>
  <conditionalFormatting sqref="I3541">
    <cfRule type="expression" dxfId="3598" priority="1496" stopIfTrue="1">
      <formula>$I3541="适用"</formula>
    </cfRule>
    <cfRule type="expression" dxfId="3597" priority="1497" stopIfTrue="1">
      <formula>$I3541="不适用"</formula>
    </cfRule>
    <cfRule type="expression" dxfId="3596" priority="1498" stopIfTrue="1">
      <formula>$I3541="适用"</formula>
    </cfRule>
    <cfRule type="expression" dxfId="3595" priority="1499" stopIfTrue="1">
      <formula>$I3541="不适用"</formula>
    </cfRule>
  </conditionalFormatting>
  <conditionalFormatting sqref="Q3558">
    <cfRule type="expression" dxfId="3594" priority="4392" stopIfTrue="1">
      <formula>$Q3558="请输入"</formula>
    </cfRule>
  </conditionalFormatting>
  <conditionalFormatting sqref="I3568">
    <cfRule type="expression" dxfId="3593" priority="2192" stopIfTrue="1">
      <formula>$I3568="适用"</formula>
    </cfRule>
    <cfRule type="expression" dxfId="3592" priority="2193" stopIfTrue="1">
      <formula>$I3568="不适用"</formula>
    </cfRule>
  </conditionalFormatting>
  <conditionalFormatting sqref="Q3568">
    <cfRule type="expression" dxfId="3591" priority="4393" stopIfTrue="1">
      <formula>$Q3568="请输入"</formula>
    </cfRule>
  </conditionalFormatting>
  <conditionalFormatting sqref="Q3578">
    <cfRule type="expression" dxfId="3590" priority="4394" stopIfTrue="1">
      <formula>$Q3578="请输入"</formula>
    </cfRule>
  </conditionalFormatting>
  <conditionalFormatting sqref="Q3588">
    <cfRule type="expression" dxfId="3589" priority="4396" stopIfTrue="1">
      <formula>$Q3588="请输入"</formula>
    </cfRule>
  </conditionalFormatting>
  <conditionalFormatting sqref="I3598">
    <cfRule type="expression" dxfId="3588" priority="1764" stopIfTrue="1">
      <formula>$I3598="适用"</formula>
    </cfRule>
    <cfRule type="expression" dxfId="3587" priority="1765" stopIfTrue="1">
      <formula>$I3598="不适用"</formula>
    </cfRule>
  </conditionalFormatting>
  <conditionalFormatting sqref="Q3618">
    <cfRule type="expression" dxfId="3586" priority="4397" stopIfTrue="1">
      <formula>$Q3618="请输入"</formula>
    </cfRule>
  </conditionalFormatting>
  <conditionalFormatting sqref="I3628">
    <cfRule type="expression" dxfId="3585" priority="2182" stopIfTrue="1">
      <formula>$I3628="适用"</formula>
    </cfRule>
    <cfRule type="expression" dxfId="3584" priority="2183" stopIfTrue="1">
      <formula>$I3628="不适用"</formula>
    </cfRule>
  </conditionalFormatting>
  <conditionalFormatting sqref="Q3628">
    <cfRule type="expression" dxfId="3583" priority="4398" stopIfTrue="1">
      <formula>$Q3628="请输入"</formula>
    </cfRule>
  </conditionalFormatting>
  <conditionalFormatting sqref="I3657">
    <cfRule type="expression" dxfId="3582" priority="2176" stopIfTrue="1">
      <formula>$I3657="适用"</formula>
    </cfRule>
    <cfRule type="expression" dxfId="3581" priority="2177" stopIfTrue="1">
      <formula>$I3657="不适用"</formula>
    </cfRule>
  </conditionalFormatting>
  <conditionalFormatting sqref="Q3657">
    <cfRule type="expression" dxfId="3580" priority="4399" stopIfTrue="1">
      <formula>$Q3657="请输入"</formula>
    </cfRule>
  </conditionalFormatting>
  <conditionalFormatting sqref="I3681">
    <cfRule type="expression" dxfId="3579" priority="1452" stopIfTrue="1">
      <formula>$I3681="适用"</formula>
    </cfRule>
    <cfRule type="expression" dxfId="3578" priority="1453" stopIfTrue="1">
      <formula>$I3681="不适用"</formula>
    </cfRule>
  </conditionalFormatting>
  <conditionalFormatting sqref="I3713">
    <cfRule type="expression" dxfId="3577" priority="1438" stopIfTrue="1">
      <formula>$I3713="适用"</formula>
    </cfRule>
    <cfRule type="expression" dxfId="3576" priority="1439" stopIfTrue="1">
      <formula>$I3713="不适用"</formula>
    </cfRule>
  </conditionalFormatting>
  <conditionalFormatting sqref="I3727">
    <cfRule type="expression" dxfId="3575" priority="645" stopIfTrue="1">
      <formula>$I3727="适用"</formula>
    </cfRule>
    <cfRule type="expression" dxfId="3574" priority="646" stopIfTrue="1">
      <formula>$I3727="不适用"</formula>
    </cfRule>
  </conditionalFormatting>
  <conditionalFormatting sqref="Q3727">
    <cfRule type="expression" dxfId="3573" priority="4401" stopIfTrue="1">
      <formula>$Q3727="请输入"</formula>
    </cfRule>
  </conditionalFormatting>
  <conditionalFormatting sqref="I3746">
    <cfRule type="expression" dxfId="3572" priority="1448" stopIfTrue="1">
      <formula>$I3746="适用"</formula>
    </cfRule>
    <cfRule type="expression" dxfId="3571" priority="1449" stopIfTrue="1">
      <formula>$I3746="不适用"</formula>
    </cfRule>
  </conditionalFormatting>
  <conditionalFormatting sqref="I3760">
    <cfRule type="expression" dxfId="3570" priority="1095" stopIfTrue="1">
      <formula>$I3760="适用"</formula>
    </cfRule>
    <cfRule type="expression" dxfId="3569" priority="1096" stopIfTrue="1">
      <formula>$I3760="不适用"</formula>
    </cfRule>
  </conditionalFormatting>
  <conditionalFormatting sqref="Q3770">
    <cfRule type="expression" dxfId="3568" priority="4402" stopIfTrue="1">
      <formula>$Q3770="请输入"</formula>
    </cfRule>
  </conditionalFormatting>
  <conditionalFormatting sqref="I3790">
    <cfRule type="expression" dxfId="3567" priority="2170" stopIfTrue="1">
      <formula>$I3790="适用"</formula>
    </cfRule>
    <cfRule type="expression" dxfId="3566" priority="2171" stopIfTrue="1">
      <formula>$I3790="不适用"</formula>
    </cfRule>
  </conditionalFormatting>
  <conditionalFormatting sqref="Q3790">
    <cfRule type="expression" dxfId="3565" priority="4403" stopIfTrue="1">
      <formula>$Q3790="请输入"</formula>
    </cfRule>
  </conditionalFormatting>
  <conditionalFormatting sqref="Q3801">
    <cfRule type="expression" dxfId="3564" priority="4404" stopIfTrue="1">
      <formula>$Q3801="请输入"</formula>
    </cfRule>
  </conditionalFormatting>
  <conditionalFormatting sqref="I3818">
    <cfRule type="expression" dxfId="3563" priority="2164" stopIfTrue="1">
      <formula>$I3818="适用"</formula>
    </cfRule>
    <cfRule type="expression" dxfId="3562" priority="2165" stopIfTrue="1">
      <formula>$I3818="不适用"</formula>
    </cfRule>
  </conditionalFormatting>
  <conditionalFormatting sqref="Q3818">
    <cfRule type="expression" dxfId="3561" priority="4405" stopIfTrue="1">
      <formula>$Q3818="请输入"</formula>
    </cfRule>
  </conditionalFormatting>
  <conditionalFormatting sqref="I3829">
    <cfRule type="expression" dxfId="3560" priority="2634" stopIfTrue="1">
      <formula>$I3829="适用"</formula>
    </cfRule>
    <cfRule type="expression" dxfId="3559" priority="2635" stopIfTrue="1">
      <formula>$I3829="不适用"</formula>
    </cfRule>
    <cfRule type="expression" dxfId="3558" priority="2642" stopIfTrue="1">
      <formula>$I3829="适用"</formula>
    </cfRule>
    <cfRule type="expression" dxfId="3557" priority="2643" stopIfTrue="1">
      <formula>$I3829="不适用"</formula>
    </cfRule>
  </conditionalFormatting>
  <conditionalFormatting sqref="Q3829">
    <cfRule type="expression" dxfId="3556" priority="4406" stopIfTrue="1">
      <formula>$Q3829="请输入"</formula>
    </cfRule>
  </conditionalFormatting>
  <conditionalFormatting sqref="I3839">
    <cfRule type="expression" dxfId="3555" priority="1484" stopIfTrue="1">
      <formula>$I3839="适用"</formula>
    </cfRule>
    <cfRule type="expression" dxfId="3554" priority="1485" stopIfTrue="1">
      <formula>$I3839="不适用"</formula>
    </cfRule>
    <cfRule type="expression" dxfId="3553" priority="1486" stopIfTrue="1">
      <formula>$I3839="适用"</formula>
    </cfRule>
    <cfRule type="expression" dxfId="3552" priority="1487" stopIfTrue="1">
      <formula>$I3839="不适用"</formula>
    </cfRule>
  </conditionalFormatting>
  <conditionalFormatting sqref="Q3856">
    <cfRule type="expression" dxfId="3551" priority="4408" stopIfTrue="1">
      <formula>$Q3856="请输入"</formula>
    </cfRule>
  </conditionalFormatting>
  <conditionalFormatting sqref="I3866">
    <cfRule type="expression" dxfId="3550" priority="1470" stopIfTrue="1">
      <formula>$I3866="适用"</formula>
    </cfRule>
    <cfRule type="expression" dxfId="3549" priority="1471" stopIfTrue="1">
      <formula>$I3866="不适用"</formula>
    </cfRule>
  </conditionalFormatting>
  <conditionalFormatting sqref="Q3876">
    <cfRule type="expression" dxfId="3548" priority="4410" stopIfTrue="1">
      <formula>$Q3876="请输入"</formula>
    </cfRule>
  </conditionalFormatting>
  <conditionalFormatting sqref="G3878">
    <cfRule type="expression" dxfId="3547" priority="2158" stopIfTrue="1">
      <formula>$D3878&gt;1</formula>
    </cfRule>
    <cfRule type="expression" dxfId="3546" priority="2159" stopIfTrue="1">
      <formula>$C3878="%IN"</formula>
    </cfRule>
  </conditionalFormatting>
  <conditionalFormatting sqref="Q3886">
    <cfRule type="expression" dxfId="3545" priority="4411" stopIfTrue="1">
      <formula>$Q3886="请输入"</formula>
    </cfRule>
  </conditionalFormatting>
  <conditionalFormatting sqref="Q3927">
    <cfRule type="expression" dxfId="3544" priority="4412" stopIfTrue="1">
      <formula>$Q3927="请输入"</formula>
    </cfRule>
  </conditionalFormatting>
  <conditionalFormatting sqref="Q3937">
    <cfRule type="expression" dxfId="3543" priority="4413" stopIfTrue="1">
      <formula>$Q3937="请输入"</formula>
    </cfRule>
  </conditionalFormatting>
  <conditionalFormatting sqref="Q3947">
    <cfRule type="expression" dxfId="3542" priority="4414" stopIfTrue="1">
      <formula>$Q3947="请输入"</formula>
    </cfRule>
  </conditionalFormatting>
  <conditionalFormatting sqref="Q3957">
    <cfRule type="expression" dxfId="3541" priority="4415" stopIfTrue="1">
      <formula>$Q3957="请输入"</formula>
    </cfRule>
  </conditionalFormatting>
  <conditionalFormatting sqref="Q3968">
    <cfRule type="expression" dxfId="3540" priority="4416" stopIfTrue="1">
      <formula>$Q3968="请输入"</formula>
    </cfRule>
  </conditionalFormatting>
  <conditionalFormatting sqref="I3979">
    <cfRule type="expression" dxfId="3539" priority="2156" stopIfTrue="1">
      <formula>$I3979="适用"</formula>
    </cfRule>
    <cfRule type="expression" dxfId="3538" priority="2157" stopIfTrue="1">
      <formula>$I3979="不适用"</formula>
    </cfRule>
  </conditionalFormatting>
  <conditionalFormatting sqref="Q3979">
    <cfRule type="expression" dxfId="3537" priority="4417" stopIfTrue="1">
      <formula>$Q3979="请输入"</formula>
    </cfRule>
  </conditionalFormatting>
  <conditionalFormatting sqref="L3992">
    <cfRule type="expression" dxfId="3536" priority="4036">
      <formula>AND(L$3992&lt;&gt;0,L$3992&lt;&gt;"")</formula>
    </cfRule>
    <cfRule type="expression" dxfId="3535" priority="4037" stopIfTrue="1">
      <formula>L$3993&lt;&gt;"√"</formula>
    </cfRule>
  </conditionalFormatting>
  <conditionalFormatting sqref="Q3992">
    <cfRule type="expression" dxfId="3534" priority="4038">
      <formula>AND(Q$3992&lt;&gt;0,Q$3992&lt;&gt;"")</formula>
    </cfRule>
    <cfRule type="expression" dxfId="3533" priority="4039" stopIfTrue="1">
      <formula>Q$3993&lt;&gt;"√"</formula>
    </cfRule>
  </conditionalFormatting>
  <conditionalFormatting sqref="K3994">
    <cfRule type="expression" dxfId="3532" priority="4040">
      <formula>AND($K$3994&lt;&gt;0,$K$3994&lt;&gt;"")</formula>
    </cfRule>
    <cfRule type="expression" dxfId="3531" priority="4041" stopIfTrue="1">
      <formula>$L$3994&lt;&gt;"√"</formula>
    </cfRule>
  </conditionalFormatting>
  <conditionalFormatting sqref="Q3997">
    <cfRule type="expression" dxfId="3530" priority="4419" stopIfTrue="1">
      <formula>$Q3997="请输入"</formula>
    </cfRule>
  </conditionalFormatting>
  <conditionalFormatting sqref="I4010">
    <cfRule type="expression" dxfId="3529" priority="1752" stopIfTrue="1">
      <formula>$I4010="适用"</formula>
    </cfRule>
    <cfRule type="expression" dxfId="3528" priority="1753" stopIfTrue="1">
      <formula>$I4010="不适用"</formula>
    </cfRule>
  </conditionalFormatting>
  <conditionalFormatting sqref="I4020">
    <cfRule type="expression" dxfId="3527" priority="1478" stopIfTrue="1">
      <formula>$I4020="适用"</formula>
    </cfRule>
    <cfRule type="expression" dxfId="3526" priority="1479" stopIfTrue="1">
      <formula>$I4020="不适用"</formula>
    </cfRule>
  </conditionalFormatting>
  <conditionalFormatting sqref="I4030">
    <cfRule type="expression" dxfId="3525" priority="1746" stopIfTrue="1">
      <formula>$I4030="适用"</formula>
    </cfRule>
    <cfRule type="expression" dxfId="3524" priority="1747" stopIfTrue="1">
      <formula>$I4030="不适用"</formula>
    </cfRule>
  </conditionalFormatting>
  <conditionalFormatting sqref="I4051">
    <cfRule type="expression" dxfId="3523" priority="2150" stopIfTrue="1">
      <formula>$I4051="适用"</formula>
    </cfRule>
    <cfRule type="expression" dxfId="3522" priority="2151" stopIfTrue="1">
      <formula>$I4051="不适用"</formula>
    </cfRule>
  </conditionalFormatting>
  <conditionalFormatting sqref="Q4051">
    <cfRule type="expression" dxfId="3521" priority="4424" stopIfTrue="1">
      <formula>$Q4051="请输入"</formula>
    </cfRule>
  </conditionalFormatting>
  <conditionalFormatting sqref="Q4061">
    <cfRule type="expression" dxfId="3520" priority="4425" stopIfTrue="1">
      <formula>$Q4061="请输入"</formula>
    </cfRule>
  </conditionalFormatting>
  <conditionalFormatting sqref="I4074">
    <cfRule type="expression" dxfId="3519" priority="1878" stopIfTrue="1">
      <formula>$I4074="适用"</formula>
    </cfRule>
    <cfRule type="expression" dxfId="3518" priority="1879" stopIfTrue="1">
      <formula>$I4074="不适用"</formula>
    </cfRule>
  </conditionalFormatting>
  <conditionalFormatting sqref="Q4074">
    <cfRule type="expression" dxfId="3517" priority="4426" stopIfTrue="1">
      <formula>$Q4074="请输入"</formula>
    </cfRule>
  </conditionalFormatting>
  <conditionalFormatting sqref="Q4084">
    <cfRule type="expression" dxfId="3516" priority="4427" stopIfTrue="1">
      <formula>$Q4084="请输入"</formula>
    </cfRule>
  </conditionalFormatting>
  <conditionalFormatting sqref="I4107">
    <cfRule type="expression" dxfId="3515" priority="1090" stopIfTrue="1">
      <formula>$I4107="适用"</formula>
    </cfRule>
    <cfRule type="expression" dxfId="3514" priority="1091" stopIfTrue="1">
      <formula>$I4107="不适用"</formula>
    </cfRule>
  </conditionalFormatting>
  <conditionalFormatting sqref="I4113">
    <cfRule type="expression" dxfId="3513" priority="1065">
      <formula>$D4113&gt;1</formula>
    </cfRule>
    <cfRule type="expression" dxfId="3512" priority="1066">
      <formula>$C4113="%IN"</formula>
    </cfRule>
    <cfRule type="expression" dxfId="3511" priority="1067" stopIfTrue="1">
      <formula>$E4113=0</formula>
    </cfRule>
  </conditionalFormatting>
  <conditionalFormatting sqref="I4118">
    <cfRule type="expression" dxfId="3510" priority="2512" stopIfTrue="1">
      <formula>$I4118="适用"</formula>
    </cfRule>
    <cfRule type="expression" dxfId="3509" priority="2513" stopIfTrue="1">
      <formula>$I4118="不适用"</formula>
    </cfRule>
  </conditionalFormatting>
  <conditionalFormatting sqref="Q4118">
    <cfRule type="expression" dxfId="3508" priority="4428" stopIfTrue="1">
      <formula>$Q4118="请输入"</formula>
    </cfRule>
  </conditionalFormatting>
  <conditionalFormatting sqref="I4136">
    <cfRule type="expression" dxfId="3507" priority="1948" stopIfTrue="1">
      <formula>$I4136="适用"</formula>
    </cfRule>
    <cfRule type="expression" dxfId="3506" priority="1949" stopIfTrue="1">
      <formula>$I4136="不适用"</formula>
    </cfRule>
  </conditionalFormatting>
  <conditionalFormatting sqref="Q4136">
    <cfRule type="expression" dxfId="3505" priority="4429" stopIfTrue="1">
      <formula>$Q4136="请输入"</formula>
    </cfRule>
  </conditionalFormatting>
  <conditionalFormatting sqref="I4168">
    <cfRule type="expression" dxfId="3504" priority="2134" stopIfTrue="1">
      <formula>$I4168="适用"</formula>
    </cfRule>
    <cfRule type="expression" dxfId="3503" priority="2135" stopIfTrue="1">
      <formula>$I4168="不适用"</formula>
    </cfRule>
  </conditionalFormatting>
  <conditionalFormatting sqref="Q4168">
    <cfRule type="expression" dxfId="3502" priority="4430" stopIfTrue="1">
      <formula>$Q4168="请输入"</formula>
    </cfRule>
  </conditionalFormatting>
  <conditionalFormatting sqref="Q4178">
    <cfRule type="expression" dxfId="3501" priority="4431" stopIfTrue="1">
      <formula>$Q4178="请输入"</formula>
    </cfRule>
  </conditionalFormatting>
  <conditionalFormatting sqref="Q4198">
    <cfRule type="expression" dxfId="3500" priority="4432" stopIfTrue="1">
      <formula>$Q4198="请输入"</formula>
    </cfRule>
  </conditionalFormatting>
  <conditionalFormatting sqref="Q4213">
    <cfRule type="expression" dxfId="3499" priority="4433" stopIfTrue="1">
      <formula>$Q4213="请输入"</formula>
    </cfRule>
  </conditionalFormatting>
  <conditionalFormatting sqref="Q4222">
    <cfRule type="expression" dxfId="3498" priority="4436" stopIfTrue="1">
      <formula>$Q4222="请输入"</formula>
    </cfRule>
  </conditionalFormatting>
  <conditionalFormatting sqref="Q4233">
    <cfRule type="expression" dxfId="3497" priority="4437" stopIfTrue="1">
      <formula>$Q4233="请输入"</formula>
    </cfRule>
  </conditionalFormatting>
  <conditionalFormatting sqref="Q4247">
    <cfRule type="expression" dxfId="3496" priority="4440" stopIfTrue="1">
      <formula>$Q4247="请输入"</formula>
    </cfRule>
  </conditionalFormatting>
  <conditionalFormatting sqref="I4261">
    <cfRule type="expression" dxfId="3495" priority="2130" stopIfTrue="1">
      <formula>$I4261="适用"</formula>
    </cfRule>
    <cfRule type="expression" dxfId="3494" priority="2131" stopIfTrue="1">
      <formula>$I4261="不适用"</formula>
    </cfRule>
  </conditionalFormatting>
  <conditionalFormatting sqref="Q4261">
    <cfRule type="expression" dxfId="3493" priority="4441" stopIfTrue="1">
      <formula>$Q4261="请输入"</formula>
    </cfRule>
  </conditionalFormatting>
  <conditionalFormatting sqref="I4269">
    <cfRule type="expression" dxfId="3492" priority="2116" stopIfTrue="1">
      <formula>$I4269="适用"</formula>
    </cfRule>
    <cfRule type="expression" dxfId="3491" priority="2117" stopIfTrue="1">
      <formula>$I4269="不适用"</formula>
    </cfRule>
  </conditionalFormatting>
  <conditionalFormatting sqref="Q4269">
    <cfRule type="expression" dxfId="3490" priority="4442" stopIfTrue="1">
      <formula>$Q4269="请输入"</formula>
    </cfRule>
  </conditionalFormatting>
  <conditionalFormatting sqref="Q4287">
    <cfRule type="expression" dxfId="3489" priority="4443" stopIfTrue="1">
      <formula>$Q4287="请输入"</formula>
    </cfRule>
  </conditionalFormatting>
  <conditionalFormatting sqref="I4297">
    <cfRule type="expression" dxfId="3488" priority="1926" stopIfTrue="1">
      <formula>$I4297="适用"</formula>
    </cfRule>
    <cfRule type="expression" dxfId="3487" priority="1927" stopIfTrue="1">
      <formula>$I4297="不适用"</formula>
    </cfRule>
  </conditionalFormatting>
  <conditionalFormatting sqref="Q4308">
    <cfRule type="expression" dxfId="3486" priority="4444" stopIfTrue="1">
      <formula>$Q4308="请输入"</formula>
    </cfRule>
  </conditionalFormatting>
  <conditionalFormatting sqref="I4330">
    <cfRule type="expression" dxfId="3485" priority="1870" stopIfTrue="1">
      <formula>$I4330="适用"</formula>
    </cfRule>
    <cfRule type="expression" dxfId="3484" priority="1871" stopIfTrue="1">
      <formula>$I4330="不适用"</formula>
    </cfRule>
  </conditionalFormatting>
  <conditionalFormatting sqref="Q4330">
    <cfRule type="expression" dxfId="3483" priority="4446" stopIfTrue="1">
      <formula>$Q4330="请输入"</formula>
    </cfRule>
  </conditionalFormatting>
  <conditionalFormatting sqref="I4340">
    <cfRule type="expression" dxfId="3482" priority="2066" stopIfTrue="1">
      <formula>$I4340="适用"</formula>
    </cfRule>
    <cfRule type="expression" dxfId="3481" priority="2067" stopIfTrue="1">
      <formula>$I4340="不适用"</formula>
    </cfRule>
  </conditionalFormatting>
  <conditionalFormatting sqref="Q4340">
    <cfRule type="expression" dxfId="3480" priority="4447" stopIfTrue="1">
      <formula>$Q4340="请输入"</formula>
    </cfRule>
  </conditionalFormatting>
  <conditionalFormatting sqref="Q4351">
    <cfRule type="expression" dxfId="3479" priority="4449" stopIfTrue="1">
      <formula>$Q4351="请输入"</formula>
    </cfRule>
  </conditionalFormatting>
  <conditionalFormatting sqref="I4367">
    <cfRule type="expression" dxfId="3478" priority="608" stopIfTrue="1">
      <formula>$I4367="适用"</formula>
    </cfRule>
    <cfRule type="expression" dxfId="3477" priority="609" stopIfTrue="1">
      <formula>$I4367="不适用"</formula>
    </cfRule>
  </conditionalFormatting>
  <conditionalFormatting sqref="Q4392">
    <cfRule type="expression" dxfId="3476" priority="4451" stopIfTrue="1">
      <formula>$Q4392="请输入"</formula>
    </cfRule>
  </conditionalFormatting>
  <conditionalFormatting sqref="I4424">
    <cfRule type="expression" dxfId="3475" priority="593" stopIfTrue="1">
      <formula>$I4424="适用"</formula>
    </cfRule>
    <cfRule type="expression" dxfId="3474" priority="594" stopIfTrue="1">
      <formula>$I4424="不适用"</formula>
    </cfRule>
  </conditionalFormatting>
  <conditionalFormatting sqref="Q4437">
    <cfRule type="expression" dxfId="3473" priority="4453" stopIfTrue="1">
      <formula>$Q4437="请输入"</formula>
    </cfRule>
  </conditionalFormatting>
  <conditionalFormatting sqref="Q4457">
    <cfRule type="expression" dxfId="3472" priority="4455" stopIfTrue="1">
      <formula>$Q4457="请输入"</formula>
    </cfRule>
  </conditionalFormatting>
  <conditionalFormatting sqref="I4488">
    <cfRule type="expression" dxfId="3471" priority="590" stopIfTrue="1">
      <formula>$I4488="适用"</formula>
    </cfRule>
    <cfRule type="expression" dxfId="3470" priority="591" stopIfTrue="1">
      <formula>$I4488="不适用"</formula>
    </cfRule>
  </conditionalFormatting>
  <conditionalFormatting sqref="Q4498">
    <cfRule type="expression" dxfId="3469" priority="4457" stopIfTrue="1">
      <formula>$Q4498="请输入"</formula>
    </cfRule>
  </conditionalFormatting>
  <conditionalFormatting sqref="Q4507">
    <cfRule type="expression" dxfId="3468" priority="4458" stopIfTrue="1">
      <formula>$Q4507="请输入"</formula>
    </cfRule>
  </conditionalFormatting>
  <conditionalFormatting sqref="Q4516">
    <cfRule type="expression" dxfId="3467" priority="4459" stopIfTrue="1">
      <formula>$Q4516="请输入"</formula>
    </cfRule>
  </conditionalFormatting>
  <conditionalFormatting sqref="H4536">
    <cfRule type="expression" dxfId="3466" priority="4074">
      <formula>AND(H$4536&lt;&gt;0,H$4536&lt;&gt;"")</formula>
    </cfRule>
    <cfRule type="expression" dxfId="3465" priority="4075" stopIfTrue="1">
      <formula>H$4537&lt;&gt;"√"</formula>
    </cfRule>
  </conditionalFormatting>
  <conditionalFormatting sqref="I4536">
    <cfRule type="expression" dxfId="3464" priority="4076">
      <formula>AND(I$4536&lt;&gt;0,I$4536&lt;&gt;"")</formula>
    </cfRule>
    <cfRule type="expression" dxfId="3463" priority="4077" stopIfTrue="1">
      <formula>I$4537&lt;&gt;"√"</formula>
    </cfRule>
  </conditionalFormatting>
  <conditionalFormatting sqref="J4536">
    <cfRule type="expression" dxfId="3462" priority="4078">
      <formula>AND(J$4536&lt;&gt;0,J$4536&lt;&gt;"")</formula>
    </cfRule>
    <cfRule type="expression" dxfId="3461" priority="4079" stopIfTrue="1">
      <formula>J$4537&lt;&gt;"√"</formula>
    </cfRule>
  </conditionalFormatting>
  <conditionalFormatting sqref="K4536">
    <cfRule type="expression" dxfId="3460" priority="4080">
      <formula>AND(K$4536&lt;&gt;0,K$4536&lt;&gt;"")</formula>
    </cfRule>
    <cfRule type="expression" dxfId="3459" priority="4081" stopIfTrue="1">
      <formula>K$4537&lt;&gt;"√"</formula>
    </cfRule>
  </conditionalFormatting>
  <conditionalFormatting sqref="K4538">
    <cfRule type="expression" dxfId="3458" priority="4082">
      <formula>AND($K$4538&lt;&gt;0,$K$4538&lt;&gt;"")</formula>
    </cfRule>
    <cfRule type="expression" dxfId="3457" priority="4083" stopIfTrue="1">
      <formula>$L$4538&lt;&gt;"√"</formula>
    </cfRule>
  </conditionalFormatting>
  <conditionalFormatting sqref="Q4540">
    <cfRule type="expression" dxfId="3456" priority="4460" stopIfTrue="1">
      <formula>$Q4540="请输入"</formula>
    </cfRule>
  </conditionalFormatting>
  <conditionalFormatting sqref="H4559">
    <cfRule type="expression" dxfId="3455" priority="4084">
      <formula>AND(H$4559&lt;&gt;0,H$4559&lt;&gt;"")</formula>
    </cfRule>
    <cfRule type="expression" dxfId="3454" priority="4085" stopIfTrue="1">
      <formula>H$4560&lt;&gt;"√"</formula>
    </cfRule>
  </conditionalFormatting>
  <conditionalFormatting sqref="I4559">
    <cfRule type="expression" dxfId="3453" priority="4086">
      <formula>AND(I$4559&lt;&gt;0,I$4559&lt;&gt;"")</formula>
    </cfRule>
    <cfRule type="expression" dxfId="3452" priority="4087" stopIfTrue="1">
      <formula>I$4560&lt;&gt;"√"</formula>
    </cfRule>
  </conditionalFormatting>
  <conditionalFormatting sqref="J4559">
    <cfRule type="expression" dxfId="3451" priority="4088">
      <formula>AND(J$4559&lt;&gt;0,J$4559&lt;&gt;"")</formula>
    </cfRule>
    <cfRule type="expression" dxfId="3450" priority="4089" stopIfTrue="1">
      <formula>J$4560&lt;&gt;"√"</formula>
    </cfRule>
  </conditionalFormatting>
  <conditionalFormatting sqref="K4559">
    <cfRule type="expression" dxfId="3449" priority="4090">
      <formula>AND(K$4559&lt;&gt;0,K$4559&lt;&gt;"")</formula>
    </cfRule>
    <cfRule type="expression" dxfId="3448" priority="4091" stopIfTrue="1">
      <formula>K$4560&lt;&gt;"√"</formula>
    </cfRule>
  </conditionalFormatting>
  <conditionalFormatting sqref="K4561">
    <cfRule type="expression" dxfId="3447" priority="4092">
      <formula>AND($K$4561&lt;&gt;0,$K$4561&lt;&gt;"")</formula>
    </cfRule>
    <cfRule type="expression" dxfId="3446" priority="4093" stopIfTrue="1">
      <formula>$L$4561&lt;&gt;"√"</formula>
    </cfRule>
  </conditionalFormatting>
  <conditionalFormatting sqref="Q4563">
    <cfRule type="expression" dxfId="3445" priority="4461" stopIfTrue="1">
      <formula>$Q4563="请输入"</formula>
    </cfRule>
  </conditionalFormatting>
  <conditionalFormatting sqref="H4578">
    <cfRule type="expression" dxfId="3444" priority="4094">
      <formula>AND(H$4578&lt;&gt;0,H$4578&lt;&gt;"")</formula>
    </cfRule>
    <cfRule type="expression" dxfId="3443" priority="4095" stopIfTrue="1">
      <formula>H$4579&lt;&gt;"√"</formula>
    </cfRule>
  </conditionalFormatting>
  <conditionalFormatting sqref="I4578">
    <cfRule type="expression" dxfId="3442" priority="4096">
      <formula>AND(I$4578&lt;&gt;0,I$4578&lt;&gt;"")</formula>
    </cfRule>
    <cfRule type="expression" dxfId="3441" priority="4097" stopIfTrue="1">
      <formula>I$4579&lt;&gt;"√"</formula>
    </cfRule>
  </conditionalFormatting>
  <conditionalFormatting sqref="J4578">
    <cfRule type="expression" dxfId="3440" priority="4098">
      <formula>AND(J$4578&lt;&gt;0,J$4578&lt;&gt;"")</formula>
    </cfRule>
    <cfRule type="expression" dxfId="3439" priority="4099" stopIfTrue="1">
      <formula>J$4579&lt;&gt;"√"</formula>
    </cfRule>
  </conditionalFormatting>
  <conditionalFormatting sqref="K4578">
    <cfRule type="expression" dxfId="3438" priority="4100">
      <formula>AND(K$4578&lt;&gt;0,K$4578&lt;&gt;"")</formula>
    </cfRule>
    <cfRule type="expression" dxfId="3437" priority="4101" stopIfTrue="1">
      <formula>K$4579&lt;&gt;"√"</formula>
    </cfRule>
  </conditionalFormatting>
  <conditionalFormatting sqref="K4580">
    <cfRule type="expression" dxfId="3436" priority="4102">
      <formula>AND($K$4580&lt;&gt;0,$K$4580&lt;&gt;"")</formula>
    </cfRule>
    <cfRule type="expression" dxfId="3435" priority="4103" stopIfTrue="1">
      <formula>$L$4580&lt;&gt;"√"</formula>
    </cfRule>
  </conditionalFormatting>
  <conditionalFormatting sqref="I4582">
    <cfRule type="expression" dxfId="3434" priority="1740" stopIfTrue="1">
      <formula>$I4582="适用"</formula>
    </cfRule>
    <cfRule type="expression" dxfId="3433" priority="1741" stopIfTrue="1">
      <formula>$I4582="不适用"</formula>
    </cfRule>
  </conditionalFormatting>
  <conditionalFormatting sqref="I4597">
    <cfRule type="expression" dxfId="3432" priority="1734" stopIfTrue="1">
      <formula>$I4597="适用"</formula>
    </cfRule>
    <cfRule type="expression" dxfId="3431" priority="1735" stopIfTrue="1">
      <formula>$I4597="不适用"</formula>
    </cfRule>
  </conditionalFormatting>
  <conditionalFormatting sqref="Q4633">
    <cfRule type="expression" dxfId="3430" priority="4462" stopIfTrue="1">
      <formula>$Q4633="请输入"</formula>
    </cfRule>
  </conditionalFormatting>
  <conditionalFormatting sqref="I4652">
    <cfRule type="expression" dxfId="3429" priority="1390" stopIfTrue="1">
      <formula>$I4652="适用"</formula>
    </cfRule>
    <cfRule type="expression" dxfId="3428" priority="1391" stopIfTrue="1">
      <formula>$I4652="不适用"</formula>
    </cfRule>
  </conditionalFormatting>
  <conditionalFormatting sqref="Q4663">
    <cfRule type="expression" dxfId="3427" priority="4463" stopIfTrue="1">
      <formula>$Q4663="请输入"</formula>
    </cfRule>
  </conditionalFormatting>
  <conditionalFormatting sqref="I4683">
    <cfRule type="expression" dxfId="3426" priority="1384" stopIfTrue="1">
      <formula>$I4683="适用"</formula>
    </cfRule>
    <cfRule type="expression" dxfId="3425" priority="1385" stopIfTrue="1">
      <formula>$I4683="不适用"</formula>
    </cfRule>
  </conditionalFormatting>
  <conditionalFormatting sqref="Q4694">
    <cfRule type="expression" dxfId="3424" priority="4464" stopIfTrue="1">
      <formula>$Q4694="请输入"</formula>
    </cfRule>
  </conditionalFormatting>
  <conditionalFormatting sqref="I4714">
    <cfRule type="expression" dxfId="3423" priority="1376" stopIfTrue="1">
      <formula>$I4714="适用"</formula>
    </cfRule>
    <cfRule type="expression" dxfId="3422" priority="1377" stopIfTrue="1">
      <formula>$I4714="不适用"</formula>
    </cfRule>
  </conditionalFormatting>
  <conditionalFormatting sqref="I4725">
    <cfRule type="expression" dxfId="3421" priority="1085" stopIfTrue="1">
      <formula>$I4725="适用"</formula>
    </cfRule>
    <cfRule type="expression" dxfId="3420" priority="1086" stopIfTrue="1">
      <formula>$I4725="不适用"</formula>
    </cfRule>
  </conditionalFormatting>
  <conditionalFormatting sqref="Q4750">
    <cfRule type="expression" dxfId="3419" priority="4465" stopIfTrue="1">
      <formula>$Q4750="请输入"</formula>
    </cfRule>
  </conditionalFormatting>
  <conditionalFormatting sqref="I4765">
    <cfRule type="expression" dxfId="3418" priority="1370" stopIfTrue="1">
      <formula>$I4765="适用"</formula>
    </cfRule>
    <cfRule type="expression" dxfId="3417" priority="1371" stopIfTrue="1">
      <formula>$I4765="不适用"</formula>
    </cfRule>
  </conditionalFormatting>
  <conditionalFormatting sqref="Q4876">
    <cfRule type="expression" dxfId="3416" priority="4466" stopIfTrue="1">
      <formula>$Q4876="请输入"</formula>
    </cfRule>
  </conditionalFormatting>
  <conditionalFormatting sqref="I4898">
    <cfRule type="expression" dxfId="3415" priority="1163" stopIfTrue="1">
      <formula>$I4898="适用"</formula>
    </cfRule>
    <cfRule type="expression" dxfId="3414" priority="1164" stopIfTrue="1">
      <formula>$I4898="不适用"</formula>
    </cfRule>
  </conditionalFormatting>
  <conditionalFormatting sqref="Q4913">
    <cfRule type="expression" dxfId="3413" priority="4469" stopIfTrue="1">
      <formula>$Q4913="请输入"</formula>
    </cfRule>
  </conditionalFormatting>
  <conditionalFormatting sqref="Q4926">
    <cfRule type="expression" dxfId="3412" priority="4470" stopIfTrue="1">
      <formula>$Q4926="请输入"</formula>
    </cfRule>
  </conditionalFormatting>
  <conditionalFormatting sqref="H4939">
    <cfRule type="expression" dxfId="3411" priority="4104">
      <formula>AND(H$4939&lt;&gt;0,H$4939&lt;&gt;"")</formula>
    </cfRule>
    <cfRule type="expression" dxfId="3410" priority="4105" stopIfTrue="1">
      <formula>H$4940&lt;&gt;"√"</formula>
    </cfRule>
  </conditionalFormatting>
  <conditionalFormatting sqref="I4939">
    <cfRule type="expression" dxfId="3409" priority="4106">
      <formula>AND(I$4939&lt;&gt;0,I$4939&lt;&gt;"")</formula>
    </cfRule>
    <cfRule type="expression" dxfId="3408" priority="4107" stopIfTrue="1">
      <formula>I$4940&lt;&gt;"√"</formula>
    </cfRule>
  </conditionalFormatting>
  <conditionalFormatting sqref="K4941">
    <cfRule type="expression" dxfId="3407" priority="4108">
      <formula>AND($K$4941&lt;&gt;0,$K$4941&lt;&gt;"")</formula>
    </cfRule>
    <cfRule type="expression" dxfId="3406" priority="4109" stopIfTrue="1">
      <formula>$L$4941&lt;&gt;"√"</formula>
    </cfRule>
  </conditionalFormatting>
  <conditionalFormatting sqref="Q4944">
    <cfRule type="expression" dxfId="3405" priority="4471" stopIfTrue="1">
      <formula>$Q4944="请输入"</formula>
    </cfRule>
  </conditionalFormatting>
  <conditionalFormatting sqref="Q4957">
    <cfRule type="expression" dxfId="3404" priority="4472" stopIfTrue="1">
      <formula>$Q4957="请输入"</formula>
    </cfRule>
  </conditionalFormatting>
  <conditionalFormatting sqref="Q4965">
    <cfRule type="expression" dxfId="3403" priority="4473" stopIfTrue="1">
      <formula>$Q4965="请输入"</formula>
    </cfRule>
  </conditionalFormatting>
  <conditionalFormatting sqref="I4984">
    <cfRule type="expression" dxfId="3402" priority="1362" stopIfTrue="1">
      <formula>$I4984="适用"</formula>
    </cfRule>
    <cfRule type="expression" dxfId="3401" priority="1363" stopIfTrue="1">
      <formula>$I4984="不适用"</formula>
    </cfRule>
  </conditionalFormatting>
  <conditionalFormatting sqref="I4998">
    <cfRule type="expression" dxfId="3400" priority="1356" stopIfTrue="1">
      <formula>$I4998="适用"</formula>
    </cfRule>
    <cfRule type="expression" dxfId="3399" priority="1357" stopIfTrue="1">
      <formula>$I4998="不适用"</formula>
    </cfRule>
  </conditionalFormatting>
  <conditionalFormatting sqref="I5008">
    <cfRule type="expression" dxfId="3398" priority="1350" stopIfTrue="1">
      <formula>$I5008="适用"</formula>
    </cfRule>
    <cfRule type="expression" dxfId="3397" priority="1351" stopIfTrue="1">
      <formula>$I5008="不适用"</formula>
    </cfRule>
  </conditionalFormatting>
  <conditionalFormatting sqref="Q5020">
    <cfRule type="expression" dxfId="3396" priority="4474" stopIfTrue="1">
      <formula>$Q5020="请输入"</formula>
    </cfRule>
  </conditionalFormatting>
  <conditionalFormatting sqref="Q5036">
    <cfRule type="expression" dxfId="3395" priority="4475" stopIfTrue="1">
      <formula>$Q5036="请输入"</formula>
    </cfRule>
  </conditionalFormatting>
  <conditionalFormatting sqref="Q5052">
    <cfRule type="expression" dxfId="3394" priority="4476" stopIfTrue="1">
      <formula>$Q5052="请输入"</formula>
    </cfRule>
  </conditionalFormatting>
  <conditionalFormatting sqref="Q5063">
    <cfRule type="expression" dxfId="3393" priority="4477" stopIfTrue="1">
      <formula>$Q5063="请输入"</formula>
    </cfRule>
  </conditionalFormatting>
  <conditionalFormatting sqref="Q5074">
    <cfRule type="expression" dxfId="3392" priority="4478" stopIfTrue="1">
      <formula>$Q5074="请输入"</formula>
    </cfRule>
  </conditionalFormatting>
  <conditionalFormatting sqref="Q5085">
    <cfRule type="expression" dxfId="3391" priority="4479" stopIfTrue="1">
      <formula>$Q5085="请输入"</formula>
    </cfRule>
  </conditionalFormatting>
  <conditionalFormatting sqref="Q5096">
    <cfRule type="expression" dxfId="3390" priority="4480" stopIfTrue="1">
      <formula>$Q5096="请输入"</formula>
    </cfRule>
  </conditionalFormatting>
  <conditionalFormatting sqref="Q5127">
    <cfRule type="expression" dxfId="3389" priority="4481" stopIfTrue="1">
      <formula>$Q5127="请输入"</formula>
    </cfRule>
  </conditionalFormatting>
  <conditionalFormatting sqref="Q5156">
    <cfRule type="expression" dxfId="3388" priority="4482" stopIfTrue="1">
      <formula>$Q5156="请输入"</formula>
    </cfRule>
  </conditionalFormatting>
  <conditionalFormatting sqref="I5183">
    <cfRule type="expression" dxfId="3387" priority="1920" stopIfTrue="1">
      <formula>$I5183="适用"</formula>
    </cfRule>
    <cfRule type="expression" dxfId="3386" priority="1921" stopIfTrue="1">
      <formula>$I5183="不适用"</formula>
    </cfRule>
  </conditionalFormatting>
  <conditionalFormatting sqref="I5208">
    <cfRule type="expression" dxfId="3385" priority="1912" stopIfTrue="1">
      <formula>$I5208="适用"</formula>
    </cfRule>
    <cfRule type="expression" dxfId="3384" priority="1913" stopIfTrue="1">
      <formula>$I5208="不适用"</formula>
    </cfRule>
  </conditionalFormatting>
  <conditionalFormatting sqref="I5319">
    <cfRule type="expression" dxfId="3383" priority="567" stopIfTrue="1">
      <formula>$I5319="适用"</formula>
    </cfRule>
    <cfRule type="expression" dxfId="3382" priority="568" stopIfTrue="1">
      <formula>$I5319="不适用"</formula>
    </cfRule>
  </conditionalFormatting>
  <conditionalFormatting sqref="I5336">
    <cfRule type="expression" dxfId="3381" priority="564" stopIfTrue="1">
      <formula>$I5336="适用"</formula>
    </cfRule>
    <cfRule type="expression" dxfId="3380" priority="565" stopIfTrue="1">
      <formula>$I5336="不适用"</formula>
    </cfRule>
  </conditionalFormatting>
  <conditionalFormatting sqref="G5295:G5303">
    <cfRule type="expression" dxfId="3379" priority="555">
      <formula>$D5295&gt;1</formula>
    </cfRule>
    <cfRule type="expression" dxfId="3378" priority="556">
      <formula>$C5295="%IN"</formula>
    </cfRule>
    <cfRule type="expression" dxfId="3377" priority="557" stopIfTrue="1">
      <formula>$E5295=0</formula>
    </cfRule>
  </conditionalFormatting>
  <conditionalFormatting sqref="I5353">
    <cfRule type="expression" dxfId="3376" priority="558" stopIfTrue="1">
      <formula>$I5353="适用"</formula>
    </cfRule>
    <cfRule type="expression" dxfId="3375" priority="559" stopIfTrue="1">
      <formula>$I5353="不适用"</formula>
    </cfRule>
  </conditionalFormatting>
  <conditionalFormatting sqref="I5369">
    <cfRule type="expression" dxfId="3374" priority="549" stopIfTrue="1">
      <formula>$I5369="适用"</formula>
    </cfRule>
    <cfRule type="expression" dxfId="3373" priority="550" stopIfTrue="1">
      <formula>$I5369="不适用"</formula>
    </cfRule>
  </conditionalFormatting>
  <conditionalFormatting sqref="I5385">
    <cfRule type="expression" dxfId="3372" priority="543" stopIfTrue="1">
      <formula>$I5385="适用"</formula>
    </cfRule>
    <cfRule type="expression" dxfId="3371" priority="544" stopIfTrue="1">
      <formula>$I5385="不适用"</formula>
    </cfRule>
  </conditionalFormatting>
  <conditionalFormatting sqref="I5419">
    <cfRule type="expression" dxfId="3370" priority="540" stopIfTrue="1">
      <formula>$I5419="适用"</formula>
    </cfRule>
    <cfRule type="expression" dxfId="3369" priority="541" stopIfTrue="1">
      <formula>$I5419="不适用"</formula>
    </cfRule>
  </conditionalFormatting>
  <conditionalFormatting sqref="I5454">
    <cfRule type="expression" dxfId="3368" priority="1856" stopIfTrue="1">
      <formula>$I5454="适用"</formula>
    </cfRule>
    <cfRule type="expression" dxfId="3367" priority="1857" stopIfTrue="1">
      <formula>$I5454="不适用"</formula>
    </cfRule>
  </conditionalFormatting>
  <conditionalFormatting sqref="I5548">
    <cfRule type="expression" dxfId="3366" priority="537" stopIfTrue="1">
      <formula>$I5548="适用"</formula>
    </cfRule>
    <cfRule type="expression" dxfId="3365" priority="538" stopIfTrue="1">
      <formula>$I5548="不适用"</formula>
    </cfRule>
  </conditionalFormatting>
  <conditionalFormatting sqref="I5557">
    <cfRule type="expression" dxfId="3364" priority="534" stopIfTrue="1">
      <formula>$I5557="适用"</formula>
    </cfRule>
    <cfRule type="expression" dxfId="3363" priority="535" stopIfTrue="1">
      <formula>$I5557="不适用"</formula>
    </cfRule>
  </conditionalFormatting>
  <conditionalFormatting sqref="I5575">
    <cfRule type="expression" dxfId="3362" priority="1820" stopIfTrue="1">
      <formula>$I5575="适用"</formula>
    </cfRule>
    <cfRule type="expression" dxfId="3361" priority="1821" stopIfTrue="1">
      <formula>$I5575="不适用"</formula>
    </cfRule>
  </conditionalFormatting>
  <conditionalFormatting sqref="G5585">
    <cfRule type="expression" dxfId="3360" priority="529" stopIfTrue="1">
      <formula>$D5585&gt;1</formula>
    </cfRule>
    <cfRule type="expression" dxfId="3359" priority="530" stopIfTrue="1">
      <formula>$C5585="%IN"</formula>
    </cfRule>
  </conditionalFormatting>
  <conditionalFormatting sqref="G5586">
    <cfRule type="expression" dxfId="3358" priority="527" stopIfTrue="1">
      <formula>$D5586&gt;1</formula>
    </cfRule>
    <cfRule type="expression" dxfId="3357" priority="528" stopIfTrue="1">
      <formula>$C5586="%IN"</formula>
    </cfRule>
  </conditionalFormatting>
  <conditionalFormatting sqref="G5587">
    <cfRule type="expression" dxfId="3356" priority="525" stopIfTrue="1">
      <formula>$D5587&gt;1</formula>
    </cfRule>
    <cfRule type="expression" dxfId="3355" priority="526" stopIfTrue="1">
      <formula>$C5587="%IN"</formula>
    </cfRule>
  </conditionalFormatting>
  <conditionalFormatting sqref="I5774">
    <cfRule type="expression" dxfId="3354" priority="1158" stopIfTrue="1">
      <formula>$I5774="适用"</formula>
    </cfRule>
    <cfRule type="expression" dxfId="3353" priority="1159" stopIfTrue="1">
      <formula>$I5774="不适用"</formula>
    </cfRule>
  </conditionalFormatting>
  <conditionalFormatting sqref="I5804">
    <cfRule type="expression" dxfId="3352" priority="1902" stopIfTrue="1">
      <formula>$I5804="适用"</formula>
    </cfRule>
    <cfRule type="expression" dxfId="3351" priority="1903" stopIfTrue="1">
      <formula>$I5804="不适用"</formula>
    </cfRule>
  </conditionalFormatting>
  <conditionalFormatting sqref="I5836">
    <cfRule type="expression" dxfId="3350" priority="1894" stopIfTrue="1">
      <formula>$I5836="适用"</formula>
    </cfRule>
    <cfRule type="expression" dxfId="3349" priority="1895" stopIfTrue="1">
      <formula>$I5836="不适用"</formula>
    </cfRule>
  </conditionalFormatting>
  <conditionalFormatting sqref="I5846">
    <cfRule type="expression" dxfId="3348" priority="1888" stopIfTrue="1">
      <formula>$I5846="适用"</formula>
    </cfRule>
    <cfRule type="expression" dxfId="3347" priority="1889" stopIfTrue="1">
      <formula>$I5846="不适用"</formula>
    </cfRule>
  </conditionalFormatting>
  <conditionalFormatting sqref="I5856">
    <cfRule type="expression" dxfId="3346" priority="1882" stopIfTrue="1">
      <formula>$I5856="适用"</formula>
    </cfRule>
    <cfRule type="expression" dxfId="3345" priority="1883" stopIfTrue="1">
      <formula>$I5856="不适用"</formula>
    </cfRule>
  </conditionalFormatting>
  <conditionalFormatting sqref="I5868">
    <cfRule type="expression" dxfId="3344" priority="1526" stopIfTrue="1">
      <formula>$I5868="适用"</formula>
    </cfRule>
    <cfRule type="expression" dxfId="3343" priority="1527" stopIfTrue="1">
      <formula>$I5868="不适用"</formula>
    </cfRule>
  </conditionalFormatting>
  <conditionalFormatting sqref="I5879">
    <cfRule type="expression" dxfId="3342" priority="1532" stopIfTrue="1">
      <formula>$I5879="适用"</formula>
    </cfRule>
    <cfRule type="expression" dxfId="3341" priority="1533" stopIfTrue="1">
      <formula>$I5879="不适用"</formula>
    </cfRule>
  </conditionalFormatting>
  <conditionalFormatting sqref="I5890">
    <cfRule type="expression" dxfId="3340" priority="1542" stopIfTrue="1">
      <formula>$I5890="适用"</formula>
    </cfRule>
    <cfRule type="expression" dxfId="3339" priority="1543" stopIfTrue="1">
      <formula>$I5890="不适用"</formula>
    </cfRule>
  </conditionalFormatting>
  <conditionalFormatting sqref="I5901">
    <cfRule type="expression" dxfId="3338" priority="1552" stopIfTrue="1">
      <formula>$I5901="适用"</formula>
    </cfRule>
    <cfRule type="expression" dxfId="3337" priority="1553" stopIfTrue="1">
      <formula>$I5901="不适用"</formula>
    </cfRule>
  </conditionalFormatting>
  <conditionalFormatting sqref="I5912">
    <cfRule type="expression" dxfId="3336" priority="1562" stopIfTrue="1">
      <formula>$I5912="适用"</formula>
    </cfRule>
    <cfRule type="expression" dxfId="3335" priority="1563" stopIfTrue="1">
      <formula>$I5912="不适用"</formula>
    </cfRule>
  </conditionalFormatting>
  <conditionalFormatting sqref="I5923">
    <cfRule type="expression" dxfId="3334" priority="1572" stopIfTrue="1">
      <formula>$I5923="适用"</formula>
    </cfRule>
    <cfRule type="expression" dxfId="3333" priority="1573" stopIfTrue="1">
      <formula>$I5923="不适用"</formula>
    </cfRule>
  </conditionalFormatting>
  <conditionalFormatting sqref="I5934">
    <cfRule type="expression" dxfId="3332" priority="1586" stopIfTrue="1">
      <formula>$I5934="适用"</formula>
    </cfRule>
    <cfRule type="expression" dxfId="3331" priority="1587" stopIfTrue="1">
      <formula>$I5934="不适用"</formula>
    </cfRule>
  </conditionalFormatting>
  <conditionalFormatting sqref="I5945">
    <cfRule type="expression" dxfId="3330" priority="1596" stopIfTrue="1">
      <formula>$I5945="适用"</formula>
    </cfRule>
    <cfRule type="expression" dxfId="3329" priority="1597" stopIfTrue="1">
      <formula>$I5945="不适用"</formula>
    </cfRule>
  </conditionalFormatting>
  <conditionalFormatting sqref="I5956">
    <cfRule type="expression" dxfId="3328" priority="1602" stopIfTrue="1">
      <formula>$I5956="适用"</formula>
    </cfRule>
    <cfRule type="expression" dxfId="3327" priority="1603" stopIfTrue="1">
      <formula>$I5956="不适用"</formula>
    </cfRule>
  </conditionalFormatting>
  <conditionalFormatting sqref="I5996">
    <cfRule type="expression" dxfId="3326" priority="1624" stopIfTrue="1">
      <formula>$I5996="适用"</formula>
    </cfRule>
    <cfRule type="expression" dxfId="3325" priority="1625" stopIfTrue="1">
      <formula>$I5996="不适用"</formula>
    </cfRule>
  </conditionalFormatting>
  <conditionalFormatting sqref="I6007">
    <cfRule type="expression" dxfId="3324" priority="1634" stopIfTrue="1">
      <formula>$I6007="适用"</formula>
    </cfRule>
    <cfRule type="expression" dxfId="3323" priority="1635" stopIfTrue="1">
      <formula>$I6007="不适用"</formula>
    </cfRule>
  </conditionalFormatting>
  <conditionalFormatting sqref="I6019">
    <cfRule type="expression" dxfId="3322" priority="1644" stopIfTrue="1">
      <formula>$I6019="适用"</formula>
    </cfRule>
    <cfRule type="expression" dxfId="3321" priority="1645" stopIfTrue="1">
      <formula>$I6019="不适用"</formula>
    </cfRule>
  </conditionalFormatting>
  <conditionalFormatting sqref="I6031">
    <cfRule type="expression" dxfId="3320" priority="1654" stopIfTrue="1">
      <formula>$I6031="适用"</formula>
    </cfRule>
    <cfRule type="expression" dxfId="3319" priority="1655" stopIfTrue="1">
      <formula>$I6031="不适用"</formula>
    </cfRule>
  </conditionalFormatting>
  <conditionalFormatting sqref="G540:G550">
    <cfRule type="expression" dxfId="3318" priority="4755">
      <formula>$D540&gt;1</formula>
    </cfRule>
    <cfRule type="expression" dxfId="3317" priority="4756">
      <formula>$C540="%IN"</formula>
    </cfRule>
    <cfRule type="expression" dxfId="3316" priority="4757" stopIfTrue="1">
      <formula>$E540=0</formula>
    </cfRule>
  </conditionalFormatting>
  <conditionalFormatting sqref="G864:G869">
    <cfRule type="expression" dxfId="3315" priority="4683">
      <formula>$D864&gt;1</formula>
    </cfRule>
    <cfRule type="expression" dxfId="3314" priority="4684">
      <formula>$C864="%IN"</formula>
    </cfRule>
    <cfRule type="expression" dxfId="3313" priority="4685" stopIfTrue="1">
      <formula>$E864=0</formula>
    </cfRule>
  </conditionalFormatting>
  <conditionalFormatting sqref="G937:G941">
    <cfRule type="expression" dxfId="3312" priority="4584">
      <formula>$D937&gt;1</formula>
    </cfRule>
    <cfRule type="expression" dxfId="3311" priority="4585">
      <formula>$C937="%IN"</formula>
    </cfRule>
    <cfRule type="expression" dxfId="3310" priority="4586" stopIfTrue="1">
      <formula>$E937=0</formula>
    </cfRule>
  </conditionalFormatting>
  <conditionalFormatting sqref="G1685:G1690">
    <cfRule type="expression" dxfId="3309" priority="3218" stopIfTrue="1">
      <formula>$D1685&gt;1</formula>
    </cfRule>
    <cfRule type="expression" dxfId="3308" priority="3219" stopIfTrue="1">
      <formula>$C1685="%IN"</formula>
    </cfRule>
  </conditionalFormatting>
  <conditionalFormatting sqref="G1702:G1707">
    <cfRule type="expression" dxfId="3307" priority="3220" stopIfTrue="1">
      <formula>$D1702&gt;1</formula>
    </cfRule>
    <cfRule type="expression" dxfId="3306" priority="3221" stopIfTrue="1">
      <formula>$C1702="%IN"</formula>
    </cfRule>
  </conditionalFormatting>
  <conditionalFormatting sqref="G1828:G1836">
    <cfRule type="expression" dxfId="3305" priority="4782">
      <formula>$D1828&gt;1</formula>
    </cfRule>
    <cfRule type="expression" dxfId="3304" priority="4783">
      <formula>$C1828="%IN"</formula>
    </cfRule>
    <cfRule type="expression" dxfId="3303" priority="4784" stopIfTrue="1">
      <formula>$E1828=0</formula>
    </cfRule>
  </conditionalFormatting>
  <conditionalFormatting sqref="G1843:G1851">
    <cfRule type="expression" dxfId="3302" priority="4785">
      <formula>$D1843&gt;1</formula>
    </cfRule>
    <cfRule type="expression" dxfId="3301" priority="4786">
      <formula>$C1843="%IN"</formula>
    </cfRule>
    <cfRule type="expression" dxfId="3300" priority="4787" stopIfTrue="1">
      <formula>$E1843=0</formula>
    </cfRule>
  </conditionalFormatting>
  <conditionalFormatting sqref="G2162:G2169">
    <cfRule type="expression" dxfId="3299" priority="3780" stopIfTrue="1">
      <formula>$D2162&gt;1</formula>
    </cfRule>
    <cfRule type="expression" dxfId="3298" priority="3781" stopIfTrue="1">
      <formula>$C2162="%IN"</formula>
    </cfRule>
  </conditionalFormatting>
  <conditionalFormatting sqref="G2174:G2179">
    <cfRule type="expression" dxfId="3297" priority="3648" stopIfTrue="1">
      <formula>$D2174&gt;1</formula>
    </cfRule>
    <cfRule type="expression" dxfId="3296" priority="3649" stopIfTrue="1">
      <formula>$C2174="%IN"</formula>
    </cfRule>
  </conditionalFormatting>
  <conditionalFormatting sqref="G2354:G2366">
    <cfRule type="expression" dxfId="3295" priority="4890">
      <formula>$D2354&gt;1</formula>
    </cfRule>
    <cfRule type="expression" dxfId="3294" priority="4891">
      <formula>$C2354="%IN"</formula>
    </cfRule>
    <cfRule type="expression" dxfId="3293" priority="4892" stopIfTrue="1">
      <formula>$E2354=0</formula>
    </cfRule>
  </conditionalFormatting>
  <conditionalFormatting sqref="G2500:G2504">
    <cfRule type="expression" dxfId="3292" priority="5141">
      <formula>$D2500&gt;1</formula>
    </cfRule>
    <cfRule type="expression" dxfId="3291" priority="5142">
      <formula>$C2500="%IN"</formula>
    </cfRule>
    <cfRule type="expression" dxfId="3290" priority="5143" stopIfTrue="1">
      <formula>$E2500=0</formula>
    </cfRule>
  </conditionalFormatting>
  <conditionalFormatting sqref="G2523:G2528">
    <cfRule type="expression" dxfId="3289" priority="5144">
      <formula>$D2523&gt;1</formula>
    </cfRule>
    <cfRule type="expression" dxfId="3288" priority="5145">
      <formula>$C2523="%IN"</formula>
    </cfRule>
    <cfRule type="expression" dxfId="3287" priority="5146" stopIfTrue="1">
      <formula>$E2523=0</formula>
    </cfRule>
  </conditionalFormatting>
  <conditionalFormatting sqref="G2621:G2626">
    <cfRule type="expression" dxfId="3286" priority="4998">
      <formula>$D2621&gt;1</formula>
    </cfRule>
    <cfRule type="expression" dxfId="3285" priority="4999">
      <formula>$C2621="%IN"</formula>
    </cfRule>
    <cfRule type="expression" dxfId="3284" priority="5000" stopIfTrue="1">
      <formula>$E2621=0</formula>
    </cfRule>
  </conditionalFormatting>
  <conditionalFormatting sqref="G2642:G2645">
    <cfRule type="expression" dxfId="3283" priority="5147">
      <formula>$D2642&gt;1</formula>
    </cfRule>
    <cfRule type="expression" dxfId="3282" priority="5148">
      <formula>$C2642="%IN"</formula>
    </cfRule>
    <cfRule type="expression" dxfId="3281" priority="5149" stopIfTrue="1">
      <formula>$E2642=0</formula>
    </cfRule>
  </conditionalFormatting>
  <conditionalFormatting sqref="G2800:G2808">
    <cfRule type="expression" dxfId="3280" priority="5150">
      <formula>$D2800&gt;1</formula>
    </cfRule>
    <cfRule type="expression" dxfId="3279" priority="5151">
      <formula>$C2800="%IN"</formula>
    </cfRule>
    <cfRule type="expression" dxfId="3278" priority="5152" stopIfTrue="1">
      <formula>$E2800=0</formula>
    </cfRule>
  </conditionalFormatting>
  <conditionalFormatting sqref="G2824:G2827">
    <cfRule type="expression" dxfId="3277" priority="5153">
      <formula>$D2824&gt;1</formula>
    </cfRule>
    <cfRule type="expression" dxfId="3276" priority="5154">
      <formula>$C2824="%IN"</formula>
    </cfRule>
    <cfRule type="expression" dxfId="3275" priority="5155" stopIfTrue="1">
      <formula>$E2824=0</formula>
    </cfRule>
  </conditionalFormatting>
  <conditionalFormatting sqref="G2913:G2917">
    <cfRule type="expression" dxfId="3274" priority="4953">
      <formula>$D2913&gt;1</formula>
    </cfRule>
    <cfRule type="expression" dxfId="3273" priority="4954">
      <formula>$C2913="%IN"</formula>
    </cfRule>
    <cfRule type="expression" dxfId="3272" priority="4955" stopIfTrue="1">
      <formula>$E2913=0</formula>
    </cfRule>
  </conditionalFormatting>
  <conditionalFormatting sqref="G3180:G3185">
    <cfRule type="expression" dxfId="3271" priority="3698" stopIfTrue="1">
      <formula>$D3180&gt;1</formula>
    </cfRule>
    <cfRule type="expression" dxfId="3270" priority="3699" stopIfTrue="1">
      <formula>$C3180="%IN"</formula>
    </cfRule>
  </conditionalFormatting>
  <conditionalFormatting sqref="G3218:G3223">
    <cfRule type="expression" dxfId="3269" priority="4962">
      <formula>$D3218&gt;1</formula>
    </cfRule>
    <cfRule type="expression" dxfId="3268" priority="4963">
      <formula>$C3218="%IN"</formula>
    </cfRule>
    <cfRule type="expression" dxfId="3267" priority="4964" stopIfTrue="1">
      <formula>$E3218=0</formula>
    </cfRule>
  </conditionalFormatting>
  <conditionalFormatting sqref="G3228:G3235">
    <cfRule type="expression" dxfId="3266" priority="3922" stopIfTrue="1">
      <formula>$D3228&gt;1</formula>
    </cfRule>
    <cfRule type="expression" dxfId="3265" priority="3923" stopIfTrue="1">
      <formula>$C3228="%IN"</formula>
    </cfRule>
  </conditionalFormatting>
  <conditionalFormatting sqref="G3309:G3316">
    <cfRule type="expression" dxfId="3264" priority="5165">
      <formula>$D3309&gt;1</formula>
    </cfRule>
    <cfRule type="expression" dxfId="3263" priority="5166">
      <formula>$C3309="%IN"</formula>
    </cfRule>
    <cfRule type="expression" dxfId="3262" priority="5167" stopIfTrue="1">
      <formula>$E3309=0</formula>
    </cfRule>
  </conditionalFormatting>
  <conditionalFormatting sqref="G3322:G3327">
    <cfRule type="expression" dxfId="3261" priority="5168">
      <formula>$D3322&gt;1</formula>
    </cfRule>
    <cfRule type="expression" dxfId="3260" priority="5169">
      <formula>$C3322="%IN"</formula>
    </cfRule>
    <cfRule type="expression" dxfId="3259" priority="5170" stopIfTrue="1">
      <formula>$E3322=0</formula>
    </cfRule>
  </conditionalFormatting>
  <conditionalFormatting sqref="G3384:G3392">
    <cfRule type="expression" dxfId="3258" priority="4971">
      <formula>$D3384&gt;1</formula>
    </cfRule>
    <cfRule type="expression" dxfId="3257" priority="4972">
      <formula>$C3384="%IN"</formula>
    </cfRule>
    <cfRule type="expression" dxfId="3256" priority="4973" stopIfTrue="1">
      <formula>$E3384=0</formula>
    </cfRule>
  </conditionalFormatting>
  <conditionalFormatting sqref="G3397:G3405">
    <cfRule type="expression" dxfId="3255" priority="4974">
      <formula>$D3397&gt;1</formula>
    </cfRule>
    <cfRule type="expression" dxfId="3254" priority="4975">
      <formula>$C3397="%IN"</formula>
    </cfRule>
    <cfRule type="expression" dxfId="3253" priority="4976" stopIfTrue="1">
      <formula>$E3397=0</formula>
    </cfRule>
  </conditionalFormatting>
  <conditionalFormatting sqref="G3424:G3429">
    <cfRule type="expression" dxfId="3252" priority="5174">
      <formula>$D3424&gt;1</formula>
    </cfRule>
    <cfRule type="expression" dxfId="3251" priority="5175">
      <formula>$C3424="%IN"</formula>
    </cfRule>
    <cfRule type="expression" dxfId="3250" priority="5176" stopIfTrue="1">
      <formula>$E3424=0</formula>
    </cfRule>
  </conditionalFormatting>
  <conditionalFormatting sqref="G3435:G3439">
    <cfRule type="expression" dxfId="3249" priority="5177">
      <formula>$D3435&gt;1</formula>
    </cfRule>
    <cfRule type="expression" dxfId="3248" priority="5178">
      <formula>$C3435="%IN"</formula>
    </cfRule>
    <cfRule type="expression" dxfId="3247" priority="5179" stopIfTrue="1">
      <formula>$E3435=0</formula>
    </cfRule>
  </conditionalFormatting>
  <conditionalFormatting sqref="G3534:G3539">
    <cfRule type="expression" dxfId="3246" priority="5183">
      <formula>$D3534&gt;1</formula>
    </cfRule>
    <cfRule type="expression" dxfId="3245" priority="5184">
      <formula>$C3534="%IN"</formula>
    </cfRule>
    <cfRule type="expression" dxfId="3244" priority="5185" stopIfTrue="1">
      <formula>$E3534=0</formula>
    </cfRule>
  </conditionalFormatting>
  <conditionalFormatting sqref="G3561:G3566">
    <cfRule type="expression" dxfId="3243" priority="3362" stopIfTrue="1">
      <formula>$D3561&gt;1</formula>
    </cfRule>
    <cfRule type="expression" dxfId="3242" priority="3363" stopIfTrue="1">
      <formula>$C3561="%IN"</formula>
    </cfRule>
  </conditionalFormatting>
  <conditionalFormatting sqref="G3601:G3615">
    <cfRule type="expression" dxfId="3241" priority="3916" stopIfTrue="1">
      <formula>$D3601&gt;1</formula>
    </cfRule>
    <cfRule type="expression" dxfId="3240" priority="3917" stopIfTrue="1">
      <formula>$C3601="%IN"</formula>
    </cfRule>
  </conditionalFormatting>
  <conditionalFormatting sqref="G3730:G3744">
    <cfRule type="expression" dxfId="3239" priority="643" stopIfTrue="1">
      <formula>$D3730&gt;1</formula>
    </cfRule>
    <cfRule type="expression" dxfId="3238" priority="644" stopIfTrue="1">
      <formula>$C3730="%IN"</formula>
    </cfRule>
  </conditionalFormatting>
  <conditionalFormatting sqref="G3749:G3757">
    <cfRule type="expression" dxfId="3237" priority="3944" stopIfTrue="1">
      <formula>$D3749&gt;1</formula>
    </cfRule>
    <cfRule type="expression" dxfId="3236" priority="3945" stopIfTrue="1">
      <formula>$C3749="%IN"</formula>
    </cfRule>
  </conditionalFormatting>
  <conditionalFormatting sqref="G3763:G3767">
    <cfRule type="expression" dxfId="3235" priority="5189">
      <formula>$D3763&gt;1</formula>
    </cfRule>
    <cfRule type="expression" dxfId="3234" priority="5190">
      <formula>$C3763="%IN"</formula>
    </cfRule>
    <cfRule type="expression" dxfId="3233" priority="5191" stopIfTrue="1">
      <formula>$E3763=0</formula>
    </cfRule>
  </conditionalFormatting>
  <conditionalFormatting sqref="G3821:G3826">
    <cfRule type="expression" dxfId="3232" priority="3740" stopIfTrue="1">
      <formula>$D3821&gt;1</formula>
    </cfRule>
    <cfRule type="expression" dxfId="3231" priority="3741" stopIfTrue="1">
      <formula>$C3821="%IN"</formula>
    </cfRule>
  </conditionalFormatting>
  <conditionalFormatting sqref="G3899:G3913">
    <cfRule type="expression" dxfId="3230" priority="3920" stopIfTrue="1">
      <formula>$D3899&gt;1</formula>
    </cfRule>
    <cfRule type="expression" dxfId="3229" priority="3921" stopIfTrue="1">
      <formula>$C3899="%IN"</formula>
    </cfRule>
  </conditionalFormatting>
  <conditionalFormatting sqref="G3919:G3924">
    <cfRule type="expression" dxfId="3228" priority="5204">
      <formula>$D3919&gt;1</formula>
    </cfRule>
    <cfRule type="expression" dxfId="3227" priority="5205">
      <formula>$C3919="%IN"</formula>
    </cfRule>
    <cfRule type="expression" dxfId="3226" priority="5206" stopIfTrue="1">
      <formula>$E3919=0</formula>
    </cfRule>
  </conditionalFormatting>
  <conditionalFormatting sqref="G3971:G3977">
    <cfRule type="expression" dxfId="3225" priority="5210">
      <formula>$D3971&gt;1</formula>
    </cfRule>
    <cfRule type="expression" dxfId="3224" priority="5211">
      <formula>$C3971="%IN"</formula>
    </cfRule>
    <cfRule type="expression" dxfId="3223" priority="5212" stopIfTrue="1">
      <formula>$E3971=0</formula>
    </cfRule>
  </conditionalFormatting>
  <conditionalFormatting sqref="G3982:G3987">
    <cfRule type="expression" dxfId="3222" priority="3752" stopIfTrue="1">
      <formula>$D3982&gt;1</formula>
    </cfRule>
    <cfRule type="expression" dxfId="3221" priority="3753" stopIfTrue="1">
      <formula>$C3982="%IN"</formula>
    </cfRule>
  </conditionalFormatting>
  <conditionalFormatting sqref="G4054:G4059">
    <cfRule type="expression" dxfId="3220" priority="5216">
      <formula>$D4054&gt;1</formula>
    </cfRule>
    <cfRule type="expression" dxfId="3219" priority="5217">
      <formula>$C4054="%IN"</formula>
    </cfRule>
    <cfRule type="expression" dxfId="3218" priority="5218" stopIfTrue="1">
      <formula>$E4054=0</formula>
    </cfRule>
  </conditionalFormatting>
  <conditionalFormatting sqref="G4064:G4072">
    <cfRule type="expression" dxfId="3217" priority="3754" stopIfTrue="1">
      <formula>$D4064&gt;1</formula>
    </cfRule>
    <cfRule type="expression" dxfId="3216" priority="3755" stopIfTrue="1">
      <formula>$C4064="%IN"</formula>
    </cfRule>
  </conditionalFormatting>
  <conditionalFormatting sqref="G4089:G4094">
    <cfRule type="expression" dxfId="3215" priority="3872" stopIfTrue="1">
      <formula>$D4089&gt;1</formula>
    </cfRule>
    <cfRule type="expression" dxfId="3214" priority="3873" stopIfTrue="1">
      <formula>$C4089="%IN"</formula>
    </cfRule>
  </conditionalFormatting>
  <conditionalFormatting sqref="G4110:G4115">
    <cfRule type="expression" dxfId="3213" priority="5219">
      <formula>$D4110&gt;1</formula>
    </cfRule>
    <cfRule type="expression" dxfId="3212" priority="5220">
      <formula>$C4110="%IN"</formula>
    </cfRule>
    <cfRule type="expression" dxfId="3211" priority="5221" stopIfTrue="1">
      <formula>$E4110=0</formula>
    </cfRule>
  </conditionalFormatting>
  <conditionalFormatting sqref="G4250:G4258">
    <cfRule type="expression" dxfId="3210" priority="5240">
      <formula>$D4250&gt;1</formula>
    </cfRule>
    <cfRule type="expression" dxfId="3209" priority="5241">
      <formula>$C4250="%IN"</formula>
    </cfRule>
    <cfRule type="expression" dxfId="3208" priority="5242" stopIfTrue="1">
      <formula>$E4250=0</formula>
    </cfRule>
  </conditionalFormatting>
  <conditionalFormatting sqref="G4427:G4435">
    <cfRule type="expression" dxfId="3207" priority="5022">
      <formula>$D4427&gt;1</formula>
    </cfRule>
    <cfRule type="expression" dxfId="3206" priority="5023">
      <formula>$C4427="%IN"</formula>
    </cfRule>
    <cfRule type="expression" dxfId="3205" priority="5024" stopIfTrue="1">
      <formula>$E4427=0</formula>
    </cfRule>
  </conditionalFormatting>
  <conditionalFormatting sqref="G4460:G4472">
    <cfRule type="expression" dxfId="3204" priority="5246">
      <formula>$D4460&gt;1</formula>
    </cfRule>
    <cfRule type="expression" dxfId="3203" priority="5247">
      <formula>$C4460="%IN"</formula>
    </cfRule>
    <cfRule type="expression" dxfId="3202" priority="5248" stopIfTrue="1">
      <formula>$E4460=0</formula>
    </cfRule>
  </conditionalFormatting>
  <conditionalFormatting sqref="G5159:G5170">
    <cfRule type="expression" dxfId="3201" priority="4152" stopIfTrue="1">
      <formula>$D5159&gt;1</formula>
    </cfRule>
    <cfRule type="expression" dxfId="3200" priority="4153" stopIfTrue="1">
      <formula>$C5159="%IN"</formula>
    </cfRule>
    <cfRule type="expression" dxfId="3199" priority="4154" stopIfTrue="1">
      <formula>$E5159=0</formula>
    </cfRule>
  </conditionalFormatting>
  <conditionalFormatting sqref="G5358:G5367">
    <cfRule type="expression" dxfId="3198" priority="5052">
      <formula>$D5358&gt;1</formula>
    </cfRule>
    <cfRule type="expression" dxfId="3197" priority="5053">
      <formula>$C5358="%IN"</formula>
    </cfRule>
    <cfRule type="expression" dxfId="3196" priority="5054" stopIfTrue="1">
      <formula>$E5358=0</formula>
    </cfRule>
  </conditionalFormatting>
  <conditionalFormatting sqref="G5374:G5383">
    <cfRule type="expression" dxfId="3195" priority="5055">
      <formula>$D5374&gt;1</formula>
    </cfRule>
    <cfRule type="expression" dxfId="3194" priority="5056">
      <formula>$C5374="%IN"</formula>
    </cfRule>
    <cfRule type="expression" dxfId="3193" priority="5057" stopIfTrue="1">
      <formula>$E5374=0</formula>
    </cfRule>
  </conditionalFormatting>
  <conditionalFormatting sqref="G5560:G5573">
    <cfRule type="expression" dxfId="3192" priority="5070">
      <formula>$D5560&gt;1</formula>
    </cfRule>
    <cfRule type="expression" dxfId="3191" priority="5071">
      <formula>$C5560="%IN"</formula>
    </cfRule>
    <cfRule type="expression" dxfId="3190" priority="5072" stopIfTrue="1">
      <formula>$E5560=0</formula>
    </cfRule>
  </conditionalFormatting>
  <conditionalFormatting sqref="G5580:G5584">
    <cfRule type="expression" dxfId="3189" priority="1818" stopIfTrue="1">
      <formula>$D5580&gt;1</formula>
    </cfRule>
    <cfRule type="expression" dxfId="3188" priority="1819" stopIfTrue="1">
      <formula>$C5580="%IN"</formula>
    </cfRule>
  </conditionalFormatting>
  <conditionalFormatting sqref="G5777:G5793">
    <cfRule type="expression" dxfId="3187" priority="4578">
      <formula>$D5777&gt;1</formula>
    </cfRule>
    <cfRule type="expression" dxfId="3186" priority="4579">
      <formula>$C5777="%IN"</formula>
    </cfRule>
    <cfRule type="expression" dxfId="3185" priority="4580" stopIfTrue="1">
      <formula>$E5777=0</formula>
    </cfRule>
  </conditionalFormatting>
  <conditionalFormatting sqref="G5807:G5834">
    <cfRule type="expression" dxfId="3184" priority="5094">
      <formula>$D5807&gt;1</formula>
    </cfRule>
    <cfRule type="expression" dxfId="3183" priority="5095">
      <formula>$C5807="%IN"</formula>
    </cfRule>
    <cfRule type="expression" dxfId="3182" priority="5096" stopIfTrue="1">
      <formula>$E5807=0</formula>
    </cfRule>
  </conditionalFormatting>
  <conditionalFormatting sqref="G5839:G5844">
    <cfRule type="expression" dxfId="3181" priority="3824" stopIfTrue="1">
      <formula>$D5839&gt;1</formula>
    </cfRule>
    <cfRule type="expression" dxfId="3180" priority="3825" stopIfTrue="1">
      <formula>$C5839="%IN"</formula>
    </cfRule>
  </conditionalFormatting>
  <conditionalFormatting sqref="I5933:I5943">
    <cfRule type="expression" dxfId="3179" priority="1590" stopIfTrue="1">
      <formula>$I5933="适用"</formula>
    </cfRule>
    <cfRule type="expression" dxfId="3178" priority="1591" stopIfTrue="1">
      <formula>$I5933="不适用"</formula>
    </cfRule>
  </conditionalFormatting>
  <conditionalFormatting sqref="I5944:I5954">
    <cfRule type="expression" dxfId="3177" priority="1600" stopIfTrue="1">
      <formula>$I5944="适用"</formula>
    </cfRule>
    <cfRule type="expression" dxfId="3176" priority="1601" stopIfTrue="1">
      <formula>$I5944="不适用"</formula>
    </cfRule>
  </conditionalFormatting>
  <conditionalFormatting sqref="I5955:I5973">
    <cfRule type="expression" dxfId="3175" priority="1610" stopIfTrue="1">
      <formula>$I5955="适用"</formula>
    </cfRule>
    <cfRule type="expression" dxfId="3174" priority="1611" stopIfTrue="1">
      <formula>$I5955="不适用"</formula>
    </cfRule>
  </conditionalFormatting>
  <conditionalFormatting sqref="I5974:I5994">
    <cfRule type="expression" dxfId="3173" priority="1618" stopIfTrue="1">
      <formula>$I5974="适用"</formula>
    </cfRule>
    <cfRule type="expression" dxfId="3172" priority="1619" stopIfTrue="1">
      <formula>$I5974="不适用"</formula>
    </cfRule>
  </conditionalFormatting>
  <conditionalFormatting sqref="I5995:I6005">
    <cfRule type="expression" dxfId="3171" priority="1628" stopIfTrue="1">
      <formula>$I5995="适用"</formula>
    </cfRule>
    <cfRule type="expression" dxfId="3170" priority="1629" stopIfTrue="1">
      <formula>$I5995="不适用"</formula>
    </cfRule>
  </conditionalFormatting>
  <conditionalFormatting sqref="I6006:I6017">
    <cfRule type="expression" dxfId="3169" priority="1638" stopIfTrue="1">
      <formula>$I6006="适用"</formula>
    </cfRule>
    <cfRule type="expression" dxfId="3168" priority="1639" stopIfTrue="1">
      <formula>$I6006="不适用"</formula>
    </cfRule>
  </conditionalFormatting>
  <conditionalFormatting sqref="I6018:I6029">
    <cfRule type="expression" dxfId="3167" priority="1648" stopIfTrue="1">
      <formula>$I6018="适用"</formula>
    </cfRule>
    <cfRule type="expression" dxfId="3166" priority="1649" stopIfTrue="1">
      <formula>$I6018="不适用"</formula>
    </cfRule>
  </conditionalFormatting>
  <conditionalFormatting sqref="I6030:I6051">
    <cfRule type="expression" dxfId="3165" priority="1658" stopIfTrue="1">
      <formula>$I6030="适用"</formula>
    </cfRule>
    <cfRule type="expression" dxfId="3164" priority="1659" stopIfTrue="1">
      <formula>$I6030="不适用"</formula>
    </cfRule>
  </conditionalFormatting>
  <conditionalFormatting sqref="J5935:J5942">
    <cfRule type="expression" dxfId="3163" priority="1584" stopIfTrue="1">
      <formula>$J5935="适用"</formula>
    </cfRule>
    <cfRule type="expression" dxfId="3162" priority="1585" stopIfTrue="1">
      <formula>$J5935="不适用"</formula>
    </cfRule>
  </conditionalFormatting>
  <conditionalFormatting sqref="J5946:J5953">
    <cfRule type="expression" dxfId="3161" priority="1594" stopIfTrue="1">
      <formula>$J5946="适用"</formula>
    </cfRule>
    <cfRule type="expression" dxfId="3160" priority="1595" stopIfTrue="1">
      <formula>$J5946="不适用"</formula>
    </cfRule>
  </conditionalFormatting>
  <conditionalFormatting sqref="J5957:J5972">
    <cfRule type="expression" dxfId="3159" priority="1604" stopIfTrue="1">
      <formula>$J5957="适用"</formula>
    </cfRule>
    <cfRule type="expression" dxfId="3158" priority="1605" stopIfTrue="1">
      <formula>$J5957="不适用"</formula>
    </cfRule>
  </conditionalFormatting>
  <conditionalFormatting sqref="J5976:J5993">
    <cfRule type="expression" dxfId="3157" priority="1614" stopIfTrue="1">
      <formula>$J5976="适用"</formula>
    </cfRule>
    <cfRule type="expression" dxfId="3156" priority="1615" stopIfTrue="1">
      <formula>$J5976="不适用"</formula>
    </cfRule>
  </conditionalFormatting>
  <conditionalFormatting sqref="J5997:J6004">
    <cfRule type="expression" dxfId="3155" priority="1622" stopIfTrue="1">
      <formula>$J5997="适用"</formula>
    </cfRule>
    <cfRule type="expression" dxfId="3154" priority="1623" stopIfTrue="1">
      <formula>$J5997="不适用"</formula>
    </cfRule>
  </conditionalFormatting>
  <conditionalFormatting sqref="J6008:J6016">
    <cfRule type="expression" dxfId="3153" priority="1632" stopIfTrue="1">
      <formula>$J6008="适用"</formula>
    </cfRule>
    <cfRule type="expression" dxfId="3152" priority="1633" stopIfTrue="1">
      <formula>$J6008="不适用"</formula>
    </cfRule>
  </conditionalFormatting>
  <conditionalFormatting sqref="J6020:J6028">
    <cfRule type="expression" dxfId="3151" priority="1642" stopIfTrue="1">
      <formula>$J6020="适用"</formula>
    </cfRule>
    <cfRule type="expression" dxfId="3150" priority="1643" stopIfTrue="1">
      <formula>$J6020="不适用"</formula>
    </cfRule>
  </conditionalFormatting>
  <conditionalFormatting sqref="Q317:Q333">
    <cfRule type="expression" dxfId="3149" priority="944" stopIfTrue="1">
      <formula>$Q317="请输入"</formula>
    </cfRule>
  </conditionalFormatting>
  <conditionalFormatting sqref="Q334:Q355">
    <cfRule type="expression" dxfId="3148" priority="938" stopIfTrue="1">
      <formula>$Q334="请输入"</formula>
    </cfRule>
  </conditionalFormatting>
  <conditionalFormatting sqref="Q356:Q377">
    <cfRule type="expression" dxfId="3147" priority="932" stopIfTrue="1">
      <formula>$Q356="请输入"</formula>
    </cfRule>
  </conditionalFormatting>
  <conditionalFormatting sqref="Q378:Q399">
    <cfRule type="expression" dxfId="3146" priority="926" stopIfTrue="1">
      <formula>$Q378="请输入"</formula>
    </cfRule>
  </conditionalFormatting>
  <conditionalFormatting sqref="Q400:Q414">
    <cfRule type="expression" dxfId="3145" priority="916" stopIfTrue="1">
      <formula>$Q400="请输入"</formula>
    </cfRule>
  </conditionalFormatting>
  <conditionalFormatting sqref="Q579:Q600">
    <cfRule type="expression" dxfId="3144" priority="910" stopIfTrue="1">
      <formula>$Q579="请输入"</formula>
    </cfRule>
  </conditionalFormatting>
  <conditionalFormatting sqref="Q706">
    <cfRule type="expression" dxfId="3143" priority="1011" stopIfTrue="1">
      <formula>$Q706="请输入"</formula>
    </cfRule>
  </conditionalFormatting>
  <conditionalFormatting sqref="Q1219:Q1306">
    <cfRule type="expression" dxfId="3142" priority="973" stopIfTrue="1">
      <formula>$Q1219="请输入"</formula>
    </cfRule>
  </conditionalFormatting>
  <conditionalFormatting sqref="Q1823:Q1837">
    <cfRule type="expression" dxfId="3141" priority="883" stopIfTrue="1">
      <formula>$Q1823="请输入"</formula>
    </cfRule>
  </conditionalFormatting>
  <conditionalFormatting sqref="Q1838:Q1852">
    <cfRule type="expression" dxfId="3140" priority="880" stopIfTrue="1">
      <formula>$Q1838="请输入"</formula>
    </cfRule>
  </conditionalFormatting>
  <conditionalFormatting sqref="Q1976:Q1985 Q1971 Q1973">
    <cfRule type="expression" dxfId="3139" priority="829" stopIfTrue="1">
      <formula>$Q1971="请输入"</formula>
    </cfRule>
  </conditionalFormatting>
  <conditionalFormatting sqref="Q1986:Q2000">
    <cfRule type="expression" dxfId="3138" priority="826" stopIfTrue="1">
      <formula>$Q1986="请输入"</formula>
    </cfRule>
  </conditionalFormatting>
  <conditionalFormatting sqref="Q2039:Q2041">
    <cfRule type="expression" dxfId="3137" priority="814" stopIfTrue="1">
      <formula>$Q2039="请输入"</formula>
    </cfRule>
  </conditionalFormatting>
  <conditionalFormatting sqref="Q2048:Q2062">
    <cfRule type="expression" dxfId="3136" priority="813" stopIfTrue="1">
      <formula>$Q2048="请输入"</formula>
    </cfRule>
  </conditionalFormatting>
  <conditionalFormatting sqref="Q2137:Q2155">
    <cfRule type="expression" dxfId="3135" priority="798" stopIfTrue="1">
      <formula>$Q2137="请输入"</formula>
    </cfRule>
  </conditionalFormatting>
  <conditionalFormatting sqref="Q2234:Q2246">
    <cfRule type="expression" dxfId="3134" priority="774" stopIfTrue="1">
      <formula>$Q2234="请输入"</formula>
    </cfRule>
  </conditionalFormatting>
  <conditionalFormatting sqref="Q2247:Q2259">
    <cfRule type="expression" dxfId="3133" priority="771" stopIfTrue="1">
      <formula>$Q2247="请输入"</formula>
    </cfRule>
  </conditionalFormatting>
  <conditionalFormatting sqref="Q2260:Q2272">
    <cfRule type="expression" dxfId="3132" priority="765" stopIfTrue="1">
      <formula>$Q2260="请输入"</formula>
    </cfRule>
  </conditionalFormatting>
  <conditionalFormatting sqref="Q2293:Q2314">
    <cfRule type="expression" dxfId="3131" priority="744" stopIfTrue="1">
      <formula>$Q2293="请输入"</formula>
    </cfRule>
  </conditionalFormatting>
  <conditionalFormatting sqref="Q2349:Q2367">
    <cfRule type="expression" dxfId="3130" priority="741" stopIfTrue="1">
      <formula>$Q2349="请输入"</formula>
    </cfRule>
  </conditionalFormatting>
  <conditionalFormatting sqref="Q2506:Q2518">
    <cfRule type="expression" dxfId="3129" priority="723" stopIfTrue="1">
      <formula>$Q2506="请输入"</formula>
    </cfRule>
  </conditionalFormatting>
  <conditionalFormatting sqref="Q2797:Q2809">
    <cfRule type="expression" dxfId="3128" priority="684" stopIfTrue="1">
      <formula>$Q2797="请输入"</formula>
    </cfRule>
  </conditionalFormatting>
  <conditionalFormatting sqref="Q2877:Q2896">
    <cfRule type="expression" dxfId="3127" priority="675" stopIfTrue="1">
      <formula>$Q2877="请输入"</formula>
    </cfRule>
  </conditionalFormatting>
  <conditionalFormatting sqref="Q2908:Q2917">
    <cfRule type="expression" dxfId="3126" priority="1076" stopIfTrue="1">
      <formula>$Q2908="请输入"</formula>
    </cfRule>
  </conditionalFormatting>
  <conditionalFormatting sqref="Q3006:Q3041">
    <cfRule type="expression" dxfId="3125" priority="4240" stopIfTrue="1">
      <formula>$Q3006="请输入"</formula>
    </cfRule>
  </conditionalFormatting>
  <conditionalFormatting sqref="Q3113:Q3125">
    <cfRule type="expression" dxfId="3124" priority="660" stopIfTrue="1">
      <formula>$Q3113="请输入"</formula>
    </cfRule>
  </conditionalFormatting>
  <conditionalFormatting sqref="Q3381:Q3393">
    <cfRule type="expression" dxfId="3123" priority="657" stopIfTrue="1">
      <formula>$Q3381="请输入"</formula>
    </cfRule>
  </conditionalFormatting>
  <conditionalFormatting sqref="Q3394:Q3405 Q3407">
    <cfRule type="expression" dxfId="3122" priority="654" stopIfTrue="1">
      <formula>$Q3394="请输入"</formula>
    </cfRule>
  </conditionalFormatting>
  <conditionalFormatting sqref="Q4424:Q4436">
    <cfRule type="expression" dxfId="3121" priority="595" stopIfTrue="1">
      <formula>$Q4424="请输入"</formula>
    </cfRule>
  </conditionalFormatting>
  <conditionalFormatting sqref="Q5319:Q5335">
    <cfRule type="expression" dxfId="3120" priority="569" stopIfTrue="1">
      <formula>$Q5319="请输入"</formula>
    </cfRule>
  </conditionalFormatting>
  <conditionalFormatting sqref="Q5336:Q5352">
    <cfRule type="expression" dxfId="3119" priority="566" stopIfTrue="1">
      <formula>$Q5336="请输入"</formula>
    </cfRule>
  </conditionalFormatting>
  <conditionalFormatting sqref="Q5353:Q5368">
    <cfRule type="expression" dxfId="3118" priority="560" stopIfTrue="1">
      <formula>$Q5353="请输入"</formula>
    </cfRule>
  </conditionalFormatting>
  <conditionalFormatting sqref="Q5369:Q5384">
    <cfRule type="expression" dxfId="3117" priority="551" stopIfTrue="1">
      <formula>$Q5369="请输入"</formula>
    </cfRule>
  </conditionalFormatting>
  <conditionalFormatting sqref="Q5557:Q5574">
    <cfRule type="expression" dxfId="3116" priority="536" stopIfTrue="1">
      <formula>$Q5557="请输入"</formula>
    </cfRule>
  </conditionalFormatting>
  <conditionalFormatting sqref="K7 M7 H7 P7:P8">
    <cfRule type="cellIs" dxfId="3115" priority="2812" stopIfTrue="1" operator="equal">
      <formula>0</formula>
    </cfRule>
    <cfRule type="cellIs" dxfId="3114" priority="2813" stopIfTrue="1" operator="notEqual">
      <formula>0</formula>
    </cfRule>
  </conditionalFormatting>
  <conditionalFormatting sqref="I4776 I4799 I4821 I4848 I4862 I3916 I10 I120 I138 I146 I160 I170 I192 I214 I251 I273 I286 I293 I1013 I988 I1774 I2463 I2557 I2648">
    <cfRule type="expression" dxfId="3113" priority="2787" stopIfTrue="1">
      <formula>$I10="适用"</formula>
    </cfRule>
    <cfRule type="expression" dxfId="3112"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1"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0" priority="2795" stopIfTrue="1">
      <formula>$I20="适用"</formula>
    </cfRule>
    <cfRule type="expression" dxfId="3109" priority="2796" stopIfTrue="1">
      <formula>$I20="不适用"</formula>
    </cfRule>
  </conditionalFormatting>
  <conditionalFormatting sqref="Q20 Q2810 Q4147 Q4157">
    <cfRule type="expression" dxfId="3108" priority="4232" stopIfTrue="1">
      <formula>$Q20="请输入"</formula>
    </cfRule>
  </conditionalFormatting>
  <conditionalFormatting sqref="G4916:G4924">
    <cfRule type="expression" dxfId="3107" priority="4122" stopIfTrue="1">
      <formula>$D4916&gt;1</formula>
    </cfRule>
    <cfRule type="expression" dxfId="3106" priority="4123" stopIfTrue="1">
      <formula>$C4916="%IN"</formula>
    </cfRule>
    <cfRule type="expression" dxfId="3105" priority="4124" stopIfTrue="1">
      <formula>$E4916=0</formula>
    </cfRule>
  </conditionalFormatting>
  <conditionalFormatting sqref="I71">
    <cfRule type="expression" dxfId="3104" priority="1062" stopIfTrue="1">
      <formula>$I71="适用"</formula>
    </cfRule>
    <cfRule type="expression" dxfId="3103"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2" priority="611" stopIfTrue="1">
      <formula>L1638="F/S"</formula>
    </cfRule>
    <cfRule type="cellIs" dxfId="3101" priority="612" stopIfTrue="1" operator="notEqual">
      <formula>0</formula>
    </cfRule>
  </conditionalFormatting>
  <conditionalFormatting sqref="G2016:G2019 G1952:G1959">
    <cfRule type="expression" dxfId="3100" priority="3106" stopIfTrue="1">
      <formula>$D1952&gt;1</formula>
    </cfRule>
    <cfRule type="expression" dxfId="3099" priority="3107" stopIfTrue="1">
      <formula>$C1952="%IN"</formula>
    </cfRule>
  </conditionalFormatting>
  <conditionalFormatting sqref="G5588:G5599">
    <cfRule type="expression" dxfId="3098" priority="716" stopIfTrue="1">
      <formula>$D5588&gt;1</formula>
    </cfRule>
    <cfRule type="expression" dxfId="3097" priority="717" stopIfTrue="1">
      <formula>$C5588="%IN"</formula>
    </cfRule>
  </conditionalFormatting>
  <conditionalFormatting sqref="Q109">
    <cfRule type="expression" dxfId="3096" priority="4237" stopIfTrue="1">
      <formula>$Q109="请输入"</formula>
    </cfRule>
  </conditionalFormatting>
  <conditionalFormatting sqref="H4114:I4114">
    <cfRule type="expression" dxfId="3095" priority="4581">
      <formula>$D4114&gt;1</formula>
    </cfRule>
    <cfRule type="expression" dxfId="3094" priority="4582">
      <formula>$C4114="%IN"</formula>
    </cfRule>
    <cfRule type="expression" dxfId="3093" priority="4583" stopIfTrue="1">
      <formula>$E4114=0</formula>
    </cfRule>
  </conditionalFormatting>
  <conditionalFormatting sqref="G4824:G4832">
    <cfRule type="expression" dxfId="3092" priority="1033">
      <formula>$D4824&gt;1</formula>
    </cfRule>
    <cfRule type="expression" dxfId="3091" priority="1034">
      <formula>$C4824="%IN"</formula>
    </cfRule>
    <cfRule type="expression" dxfId="3090" priority="1035" stopIfTrue="1">
      <formula>$E4824=0</formula>
    </cfRule>
  </conditionalFormatting>
  <conditionalFormatting sqref="Q130 Q611:Q617">
    <cfRule type="expression" dxfId="3089" priority="4238" stopIfTrue="1">
      <formula>$Q130="请输入"</formula>
    </cfRule>
  </conditionalFormatting>
  <conditionalFormatting sqref="G520:G524 G526">
    <cfRule type="expression" dxfId="3088" priority="4752">
      <formula>$D520&gt;1</formula>
    </cfRule>
    <cfRule type="expression" dxfId="3087" priority="4753">
      <formula>$C520="%IN"</formula>
    </cfRule>
    <cfRule type="expression" dxfId="3086" priority="4754" stopIfTrue="1">
      <formula>$E520=0</formula>
    </cfRule>
  </conditionalFormatting>
  <conditionalFormatting sqref="G4802:G4818">
    <cfRule type="expression" dxfId="3085" priority="896" stopIfTrue="1">
      <formula>$D4802&gt;1</formula>
    </cfRule>
    <cfRule type="expression" dxfId="3084" priority="897" stopIfTrue="1">
      <formula>$C4802="%IN"</formula>
    </cfRule>
  </conditionalFormatting>
  <conditionalFormatting sqref="G2987:G3003 G3514:G3528 G3716:G3724 G4354:G4357">
    <cfRule type="expression" dxfId="3083" priority="2444" stopIfTrue="1">
      <formula>$D2987&gt;1</formula>
    </cfRule>
    <cfRule type="expression" dxfId="3082" priority="2445" stopIfTrue="1">
      <formula>$C2987="%IN"</formula>
    </cfRule>
  </conditionalFormatting>
  <conditionalFormatting sqref="Q2032:Q2038 Q2042:Q2047">
    <cfRule type="expression" dxfId="3081" priority="820" stopIfTrue="1">
      <formula>$Q2032="请输入"</formula>
    </cfRule>
  </conditionalFormatting>
  <conditionalFormatting sqref="Q2273:Q2292 Q2378:Q2390 Q2497:Q2505 Q2520:Q2555">
    <cfRule type="expression" dxfId="3080" priority="4239" stopIfTrue="1">
      <formula>$Q2273="请输入"</formula>
    </cfRule>
  </conditionalFormatting>
  <conditionalFormatting sqref="Q4488:Q4497 Q4367:Q4369 Q4371:Q4391">
    <cfRule type="expression" dxfId="3079" priority="4241" stopIfTrue="1">
      <formula>$Q4367="请输入"</formula>
    </cfRule>
  </conditionalFormatting>
  <conditionalFormatting sqref="I4612 I4622">
    <cfRule type="expression" dxfId="3078" priority="1396" stopIfTrue="1">
      <formula>$I4612="适用"</formula>
    </cfRule>
    <cfRule type="expression" dxfId="3077" priority="1397" stopIfTrue="1">
      <formula>$I4612="不适用"</formula>
    </cfRule>
  </conditionalFormatting>
  <conditionalFormatting sqref="G5341:G5349">
    <cfRule type="expression" dxfId="3076" priority="5049">
      <formula>$D5341&gt;1</formula>
    </cfRule>
    <cfRule type="expression" dxfId="3075" priority="5050">
      <formula>$C5341="%IN"</formula>
    </cfRule>
    <cfRule type="expression" dxfId="3074" priority="5051" stopIfTrue="1">
      <formula>$E5341=0</formula>
    </cfRule>
  </conditionalFormatting>
  <conditionalFormatting sqref="I5867:I5868 I5877">
    <cfRule type="expression" dxfId="3073" priority="1530" stopIfTrue="1">
      <formula>$I5867="适用"</formula>
    </cfRule>
    <cfRule type="expression" dxfId="3072" priority="1531" stopIfTrue="1">
      <formula>$I5867="不适用"</formula>
    </cfRule>
  </conditionalFormatting>
  <conditionalFormatting sqref="J6032:J6050 J5869:J5876 J5880:J5887 J5891:J5898 J5902:J5909 J5913:J5920 J5924:J5931">
    <cfRule type="expression" dxfId="3071" priority="1652" stopIfTrue="1">
      <formula>$J5869="适用"</formula>
    </cfRule>
    <cfRule type="expression" dxfId="3070" priority="1653" stopIfTrue="1">
      <formula>$J5869="不适用"</formula>
    </cfRule>
  </conditionalFormatting>
  <conditionalFormatting sqref="L6253:L6255 O6253:O6255">
    <cfRule type="expression" dxfId="3069" priority="2800" stopIfTrue="1">
      <formula>OR(L6253="F/S",L6253="",AND(L6253&gt;=0,L6253&lt;=1))</formula>
    </cfRule>
    <cfRule type="expression" dxfId="3068" priority="2801" stopIfTrue="1">
      <formula>OR(L6253&lt;&gt;"F/S",L6253&lt;&gt;0)</formula>
    </cfRule>
  </conditionalFormatting>
  <conditionalFormatting sqref="G149:G158">
    <cfRule type="expression" dxfId="3067" priority="5252">
      <formula>$D149&gt;1</formula>
    </cfRule>
    <cfRule type="expression" dxfId="3066" priority="5253">
      <formula>$C149="%IN"</formula>
    </cfRule>
    <cfRule type="expression" dxfId="3065" priority="5254" stopIfTrue="1">
      <formula>$E149=0</formula>
    </cfRule>
  </conditionalFormatting>
  <conditionalFormatting sqref="G874:G888">
    <cfRule type="expression" dxfId="3064" priority="5264">
      <formula>$D874&gt;1</formula>
    </cfRule>
    <cfRule type="expression" dxfId="3063" priority="5265">
      <formula>$C874="%IN"</formula>
    </cfRule>
    <cfRule type="expression" dxfId="3062" priority="5266" stopIfTrue="1">
      <formula>$E874=0</formula>
    </cfRule>
  </conditionalFormatting>
  <conditionalFormatting sqref="G1541:G1555">
    <cfRule type="expression" dxfId="3061" priority="5273">
      <formula>$D1541&gt;1</formula>
    </cfRule>
    <cfRule type="expression" dxfId="3060" priority="5274">
      <formula>$C1541="%IN"</formula>
    </cfRule>
    <cfRule type="expression" dxfId="3059" priority="5275" stopIfTrue="1">
      <formula>$E1541=0</formula>
    </cfRule>
  </conditionalFormatting>
  <conditionalFormatting sqref="G2142:G2154">
    <cfRule type="expression" dxfId="3058" priority="5294">
      <formula>$D2142&gt;1</formula>
    </cfRule>
    <cfRule type="expression" dxfId="3057" priority="5295">
      <formula>$C2142="%IN"</formula>
    </cfRule>
    <cfRule type="expression" dxfId="3056" priority="5296" stopIfTrue="1">
      <formula>$E2142=0</formula>
    </cfRule>
  </conditionalFormatting>
  <conditionalFormatting sqref="G2560:G2597">
    <cfRule type="expression" dxfId="3055" priority="5309">
      <formula>$D2560&gt;1</formula>
    </cfRule>
    <cfRule type="expression" dxfId="3054" priority="5310">
      <formula>$C2560="%IN"</formula>
    </cfRule>
    <cfRule type="expression" dxfId="3053" priority="5311" stopIfTrue="1">
      <formula>$E2560=0</formula>
    </cfRule>
  </conditionalFormatting>
  <conditionalFormatting sqref="G3009:G3040">
    <cfRule type="expression" dxfId="3052" priority="5321">
      <formula>$D3009&gt;1</formula>
    </cfRule>
    <cfRule type="expression" dxfId="3051" priority="5322">
      <formula>$C3009="%IN"</formula>
    </cfRule>
    <cfRule type="expression" dxfId="3050" priority="5323" stopIfTrue="1">
      <formula>$E3009=0</formula>
    </cfRule>
  </conditionalFormatting>
  <conditionalFormatting sqref="G5324:G5334">
    <cfRule type="expression" dxfId="3049" priority="5333">
      <formula>$D5324&gt;1</formula>
    </cfRule>
    <cfRule type="expression" dxfId="3048" priority="5334">
      <formula>$C5324="%IN"</formula>
    </cfRule>
    <cfRule type="expression" dxfId="3047" priority="5335" stopIfTrue="1">
      <formula>$E5324=0</formula>
    </cfRule>
  </conditionalFormatting>
  <conditionalFormatting sqref="G2925:G2980">
    <cfRule type="expression" dxfId="3046" priority="5336">
      <formula>$D2925&gt;1</formula>
    </cfRule>
    <cfRule type="expression" dxfId="3045" priority="5337">
      <formula>$C2925="%IN"</formula>
    </cfRule>
    <cfRule type="expression" dxfId="3044" priority="5338" stopIfTrue="1">
      <formula>$E2925=0</formula>
    </cfRule>
  </conditionalFormatting>
  <conditionalFormatting sqref="G3048:G3103">
    <cfRule type="expression" dxfId="3043" priority="5339">
      <formula>$D3048&gt;1</formula>
    </cfRule>
    <cfRule type="expression" dxfId="3042" priority="5340">
      <formula>$C3048="%IN"</formula>
    </cfRule>
    <cfRule type="expression" dxfId="3041" priority="5341" stopIfTrue="1">
      <formula>$E3048=0</formula>
    </cfRule>
  </conditionalFormatting>
  <conditionalFormatting sqref="G2144:G2152">
    <cfRule type="expression" dxfId="3040" priority="472">
      <formula>$D2144&gt;1</formula>
    </cfRule>
    <cfRule type="expression" dxfId="3039" priority="473">
      <formula>$C2144="%IN"</formula>
    </cfRule>
    <cfRule type="expression" dxfId="3038" priority="474" stopIfTrue="1">
      <formula>$E2144=0</formula>
    </cfRule>
  </conditionalFormatting>
  <conditionalFormatting sqref="G2356:G2364">
    <cfRule type="expression" dxfId="3037" priority="469">
      <formula>$D2356&gt;1</formula>
    </cfRule>
    <cfRule type="expression" dxfId="3036" priority="470">
      <formula>$C2356="%IN"</formula>
    </cfRule>
    <cfRule type="expression" dxfId="3035" priority="471" stopIfTrue="1">
      <formula>$E2356=0</formula>
    </cfRule>
  </conditionalFormatting>
  <conditionalFormatting sqref="G2605:G2608">
    <cfRule type="expression" dxfId="3034" priority="466">
      <formula>$D2605&gt;1</formula>
    </cfRule>
    <cfRule type="expression" dxfId="3033" priority="467">
      <formula>$C2605="%IN"</formula>
    </cfRule>
    <cfRule type="expression" dxfId="3032" priority="468" stopIfTrue="1">
      <formula>$E2605=0</formula>
    </cfRule>
  </conditionalFormatting>
  <conditionalFormatting sqref="G3804:G3816">
    <cfRule type="expression" dxfId="3031" priority="5348">
      <formula>$D3804&gt;1</formula>
    </cfRule>
    <cfRule type="expression" dxfId="3030" priority="5349">
      <formula>$C3804="%IN"</formula>
    </cfRule>
    <cfRule type="expression" dxfId="3029" priority="5350" stopIfTrue="1">
      <formula>$E3804=0</formula>
    </cfRule>
  </conditionalFormatting>
  <conditionalFormatting sqref="G3773:G3788">
    <cfRule type="expression" dxfId="3028" priority="5351">
      <formula>$D3773&gt;1</formula>
    </cfRule>
    <cfRule type="expression" dxfId="3027" priority="5352">
      <formula>$C3773="%IN"</formula>
    </cfRule>
    <cfRule type="expression" dxfId="3026" priority="5353" stopIfTrue="1">
      <formula>$E3773=0</formula>
    </cfRule>
  </conditionalFormatting>
  <conditionalFormatting sqref="G4313:G4315">
    <cfRule type="expression" dxfId="3025" priority="5360">
      <formula>$D4313&gt;1</formula>
    </cfRule>
    <cfRule type="expression" dxfId="3024" priority="5361">
      <formula>$C4313="%IN"</formula>
    </cfRule>
    <cfRule type="expression" dxfId="3023" priority="5362" stopIfTrue="1">
      <formula>$E4313=0</formula>
    </cfRule>
  </conditionalFormatting>
  <conditionalFormatting sqref="G5099:G5116">
    <cfRule type="expression" dxfId="3022" priority="5375">
      <formula>$D5099&gt;1</formula>
    </cfRule>
    <cfRule type="expression" dxfId="3021" priority="5376">
      <formula>$C5099="%IN"</formula>
    </cfRule>
    <cfRule type="expression" dxfId="3020" priority="5377" stopIfTrue="1">
      <formula>$E5099=0</formula>
    </cfRule>
  </conditionalFormatting>
  <conditionalFormatting sqref="G25:G57">
    <cfRule type="expression" dxfId="3019" priority="5474">
      <formula>$D25&gt;1</formula>
    </cfRule>
    <cfRule type="expression" dxfId="3018" priority="5475">
      <formula>$C25="%IN"</formula>
    </cfRule>
    <cfRule type="expression" dxfId="3017"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6"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5" priority="7381" stopIfTrue="1">
      <formula>OR($L$20="F/S",$L$20="")</formula>
    </cfRule>
    <cfRule type="cellIs" dxfId="3014"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3" priority="7383" stopIfTrue="1">
      <formula>OR($O$20="F/S",$O$20="")</formula>
    </cfRule>
    <cfRule type="cellIs" dxfId="3012" priority="7384" stopIfTrue="1" operator="notEqual">
      <formula>0</formula>
    </cfRule>
  </conditionalFormatting>
  <conditionalFormatting sqref="L10">
    <cfRule type="expression" dxfId="3011" priority="7385" stopIfTrue="1">
      <formula>OR($L$10="F/S",$L$10="")</formula>
    </cfRule>
    <cfRule type="cellIs" dxfId="3010" priority="7386" stopIfTrue="1" operator="notEqual">
      <formula>0</formula>
    </cfRule>
  </conditionalFormatting>
  <conditionalFormatting sqref="O10">
    <cfRule type="expression" dxfId="3009" priority="7387" stopIfTrue="1">
      <formula>OR($O$10="F/S",$O$10="")</formula>
    </cfRule>
    <cfRule type="cellIs" dxfId="3008" priority="7388" stopIfTrue="1" operator="notEqual">
      <formula>0</formula>
    </cfRule>
  </conditionalFormatting>
  <conditionalFormatting sqref="L59">
    <cfRule type="expression" dxfId="3007" priority="7389" stopIfTrue="1">
      <formula>OR($L$59="F/S",$L$59="")</formula>
    </cfRule>
    <cfRule type="cellIs" dxfId="3006" priority="7390" stopIfTrue="1" operator="notEqual">
      <formula>0</formula>
    </cfRule>
  </conditionalFormatting>
  <conditionalFormatting sqref="O59">
    <cfRule type="expression" dxfId="3005" priority="7391" stopIfTrue="1">
      <formula>OR($O$59="F/S",$O$59="")</formula>
    </cfRule>
    <cfRule type="cellIs" dxfId="3004" priority="7392" stopIfTrue="1" operator="notEqual">
      <formula>0</formula>
    </cfRule>
  </conditionalFormatting>
  <conditionalFormatting sqref="L90">
    <cfRule type="expression" dxfId="3003" priority="7393" stopIfTrue="1">
      <formula>OR($L$90="F/S",$L$90="")</formula>
    </cfRule>
    <cfRule type="cellIs" dxfId="3002" priority="7394" stopIfTrue="1" operator="notEqual">
      <formula>0</formula>
    </cfRule>
  </conditionalFormatting>
  <conditionalFormatting sqref="O90">
    <cfRule type="expression" dxfId="3001" priority="7395" stopIfTrue="1">
      <formula>OR($O$90="F/S",$O$90="")</formula>
    </cfRule>
    <cfRule type="cellIs" dxfId="3000" priority="7396" stopIfTrue="1" operator="notEqual">
      <formula>0</formula>
    </cfRule>
  </conditionalFormatting>
  <conditionalFormatting sqref="L71">
    <cfRule type="expression" dxfId="2999" priority="7401" stopIfTrue="1">
      <formula>OR($L$71="F/S",$L$71="")</formula>
    </cfRule>
    <cfRule type="cellIs" dxfId="2998" priority="7402" stopIfTrue="1" operator="notEqual">
      <formula>0</formula>
    </cfRule>
  </conditionalFormatting>
  <conditionalFormatting sqref="O71">
    <cfRule type="expression" dxfId="2997" priority="7403" stopIfTrue="1">
      <formula>OR($O$71="F/S",$O$71="")</formula>
    </cfRule>
    <cfRule type="cellIs" dxfId="2996" priority="7404" stopIfTrue="1" operator="notEqual">
      <formula>0</formula>
    </cfRule>
  </conditionalFormatting>
  <conditionalFormatting sqref="L109">
    <cfRule type="expression" dxfId="2995" priority="7405" stopIfTrue="1">
      <formula>OR($L$109="F/S",$L$109="")</formula>
    </cfRule>
    <cfRule type="cellIs" dxfId="2994" priority="7406" stopIfTrue="1" operator="notEqual">
      <formula>0</formula>
    </cfRule>
  </conditionalFormatting>
  <conditionalFormatting sqref="O109">
    <cfRule type="expression" dxfId="2993" priority="7407" stopIfTrue="1">
      <formula>OR($O$109="F/S",$O$109="")</formula>
    </cfRule>
    <cfRule type="cellIs" dxfId="2992" priority="7408" stopIfTrue="1" operator="notEqual">
      <formula>0</formula>
    </cfRule>
  </conditionalFormatting>
  <conditionalFormatting sqref="L120">
    <cfRule type="expression" dxfId="2991" priority="7409" stopIfTrue="1">
      <formula>OR($L$120="F/S",$L$120="")</formula>
    </cfRule>
    <cfRule type="cellIs" dxfId="2990" priority="7410" stopIfTrue="1" operator="notEqual">
      <formula>0</formula>
    </cfRule>
  </conditionalFormatting>
  <conditionalFormatting sqref="O120">
    <cfRule type="expression" dxfId="2989" priority="7411" stopIfTrue="1">
      <formula>OR($O$120="F/S",$O$120="")</formula>
    </cfRule>
    <cfRule type="cellIs" dxfId="2988" priority="7412" stopIfTrue="1" operator="notEqual">
      <formula>0</formula>
    </cfRule>
  </conditionalFormatting>
  <conditionalFormatting sqref="L138">
    <cfRule type="expression" dxfId="2987" priority="7413" stopIfTrue="1">
      <formula>OR($L$138="F/S",$L$138="")</formula>
    </cfRule>
    <cfRule type="cellIs" dxfId="2986" priority="7414" stopIfTrue="1" operator="notEqual">
      <formula>0</formula>
    </cfRule>
  </conditionalFormatting>
  <conditionalFormatting sqref="O138">
    <cfRule type="expression" dxfId="2985" priority="7415" stopIfTrue="1">
      <formula>OR($O$138="F/S",$O$138="")</formula>
    </cfRule>
    <cfRule type="cellIs" dxfId="2984" priority="7416" stopIfTrue="1" operator="notEqual">
      <formula>0</formula>
    </cfRule>
  </conditionalFormatting>
  <conditionalFormatting sqref="L146">
    <cfRule type="expression" dxfId="2983" priority="7417" stopIfTrue="1">
      <formula>OR($L$146="F/S",$L$146="")</formula>
    </cfRule>
    <cfRule type="cellIs" dxfId="2982" priority="7418" stopIfTrue="1" operator="notEqual">
      <formula>0</formula>
    </cfRule>
  </conditionalFormatting>
  <conditionalFormatting sqref="O146">
    <cfRule type="expression" dxfId="2981" priority="7419" stopIfTrue="1">
      <formula>OR($O$146="F/S",$O$146="")</formula>
    </cfRule>
    <cfRule type="cellIs" dxfId="2980" priority="7420" stopIfTrue="1" operator="notEqual">
      <formula>0</formula>
    </cfRule>
  </conditionalFormatting>
  <conditionalFormatting sqref="L160">
    <cfRule type="expression" dxfId="2979" priority="7421" stopIfTrue="1">
      <formula>OR($L$160="F/S",$L$160="")</formula>
    </cfRule>
    <cfRule type="cellIs" dxfId="2978" priority="7422" stopIfTrue="1" operator="notEqual">
      <formula>0</formula>
    </cfRule>
  </conditionalFormatting>
  <conditionalFormatting sqref="O160">
    <cfRule type="expression" dxfId="2977" priority="7423" stopIfTrue="1">
      <formula>OR($O$160="F/S",$O$160="")</formula>
    </cfRule>
    <cfRule type="cellIs" dxfId="2976" priority="7424" stopIfTrue="1" operator="notEqual">
      <formula>0</formula>
    </cfRule>
  </conditionalFormatting>
  <conditionalFormatting sqref="L170">
    <cfRule type="expression" dxfId="2975" priority="7425" stopIfTrue="1">
      <formula>OR($L$170="F/S",$L$170="")</formula>
    </cfRule>
    <cfRule type="cellIs" dxfId="2974" priority="7426" stopIfTrue="1" operator="notEqual">
      <formula>0</formula>
    </cfRule>
  </conditionalFormatting>
  <conditionalFormatting sqref="O170">
    <cfRule type="expression" dxfId="2973" priority="7427" stopIfTrue="1">
      <formula>OR($O$170="F/S",$O$170="")</formula>
    </cfRule>
    <cfRule type="cellIs" dxfId="2972" priority="7428" stopIfTrue="1" operator="notEqual">
      <formula>0</formula>
    </cfRule>
  </conditionalFormatting>
  <conditionalFormatting sqref="L192">
    <cfRule type="expression" dxfId="2971" priority="7429" stopIfTrue="1">
      <formula>OR($L$192="F/S",$L$192="")</formula>
    </cfRule>
    <cfRule type="cellIs" dxfId="2970" priority="7430" stopIfTrue="1" operator="notEqual">
      <formula>0</formula>
    </cfRule>
  </conditionalFormatting>
  <conditionalFormatting sqref="O192">
    <cfRule type="expression" dxfId="2969" priority="7431" stopIfTrue="1">
      <formula>OR($O$192="F/S",$O$192="")</formula>
    </cfRule>
    <cfRule type="cellIs" dxfId="2968" priority="7432" stopIfTrue="1" operator="notEqual">
      <formula>0</formula>
    </cfRule>
  </conditionalFormatting>
  <conditionalFormatting sqref="L214">
    <cfRule type="expression" dxfId="2967" priority="7433" stopIfTrue="1">
      <formula>OR($L$214="F/S",$L$214="")</formula>
    </cfRule>
    <cfRule type="cellIs" dxfId="2966" priority="7434" stopIfTrue="1" operator="notEqual">
      <formula>0</formula>
    </cfRule>
  </conditionalFormatting>
  <conditionalFormatting sqref="O214">
    <cfRule type="expression" dxfId="2965" priority="7435" stopIfTrue="1">
      <formula>OR($O$214="F/S",$O$214="")</formula>
    </cfRule>
    <cfRule type="cellIs" dxfId="2964" priority="7436" stopIfTrue="1" operator="notEqual">
      <formula>0</formula>
    </cfRule>
  </conditionalFormatting>
  <conditionalFormatting sqref="L251">
    <cfRule type="expression" dxfId="2963" priority="7437" stopIfTrue="1">
      <formula>OR($L$251="F/S",$L$251="")</formula>
    </cfRule>
    <cfRule type="cellIs" dxfId="2962" priority="7438" stopIfTrue="1" operator="notEqual">
      <formula>0</formula>
    </cfRule>
  </conditionalFormatting>
  <conditionalFormatting sqref="O251">
    <cfRule type="expression" dxfId="2961" priority="7439" stopIfTrue="1">
      <formula>OR($O$251="F/S",$O$251="")</formula>
    </cfRule>
    <cfRule type="cellIs" dxfId="2960" priority="7440" stopIfTrue="1" operator="notEqual">
      <formula>0</formula>
    </cfRule>
  </conditionalFormatting>
  <conditionalFormatting sqref="L273">
    <cfRule type="expression" dxfId="2959" priority="7441" stopIfTrue="1">
      <formula>OR($L$273="F/S",$L$273="")</formula>
    </cfRule>
    <cfRule type="cellIs" dxfId="2958" priority="7442" stopIfTrue="1" operator="notEqual">
      <formula>0</formula>
    </cfRule>
  </conditionalFormatting>
  <conditionalFormatting sqref="O273">
    <cfRule type="expression" dxfId="2957" priority="7443" stopIfTrue="1">
      <formula>OR($O$273="F/S",$O$273="")</formula>
    </cfRule>
    <cfRule type="cellIs" dxfId="2956" priority="7444" stopIfTrue="1" operator="notEqual">
      <formula>0</formula>
    </cfRule>
  </conditionalFormatting>
  <conditionalFormatting sqref="L286">
    <cfRule type="expression" dxfId="2955" priority="7445" stopIfTrue="1">
      <formula>OR($L$286="F/S",$L$286="")</formula>
    </cfRule>
    <cfRule type="cellIs" dxfId="2954" priority="7446" stopIfTrue="1" operator="notEqual">
      <formula>0</formula>
    </cfRule>
  </conditionalFormatting>
  <conditionalFormatting sqref="O286">
    <cfRule type="expression" dxfId="2953" priority="7447" stopIfTrue="1">
      <formula>OR($O$286="F/S",$O$286="")</formula>
    </cfRule>
    <cfRule type="cellIs" dxfId="2952" priority="7448" stopIfTrue="1" operator="notEqual">
      <formula>0</formula>
    </cfRule>
  </conditionalFormatting>
  <conditionalFormatting sqref="L293">
    <cfRule type="expression" dxfId="2951" priority="7449" stopIfTrue="1">
      <formula>OR($L$293="F/S",$L$293="")</formula>
    </cfRule>
    <cfRule type="cellIs" dxfId="2950" priority="7450" stopIfTrue="1" operator="notEqual">
      <formula>0</formula>
    </cfRule>
  </conditionalFormatting>
  <conditionalFormatting sqref="O293">
    <cfRule type="expression" dxfId="2949" priority="7451" stopIfTrue="1">
      <formula>OR($O$293="F/S",$O$293="")</formula>
    </cfRule>
    <cfRule type="cellIs" dxfId="2948" priority="7452" stopIfTrue="1" operator="notEqual">
      <formula>0</formula>
    </cfRule>
  </conditionalFormatting>
  <conditionalFormatting sqref="L130">
    <cfRule type="expression" dxfId="2947" priority="7453" stopIfTrue="1">
      <formula>OR($L$130="F/S",$L$130="")</formula>
    </cfRule>
    <cfRule type="cellIs" dxfId="2946" priority="7454" stopIfTrue="1" operator="notEqual">
      <formula>0</formula>
    </cfRule>
  </conditionalFormatting>
  <conditionalFormatting sqref="O130">
    <cfRule type="expression" dxfId="2945" priority="7455" stopIfTrue="1">
      <formula>OR($O$130="F/S",$O$130="")</formula>
    </cfRule>
    <cfRule type="cellIs" dxfId="2944" priority="7456" stopIfTrue="1" operator="notEqual">
      <formula>0</formula>
    </cfRule>
  </conditionalFormatting>
  <conditionalFormatting sqref="L317">
    <cfRule type="expression" dxfId="2943" priority="7457" stopIfTrue="1">
      <formula>OR($L$317="F/S",$L$317="")</formula>
    </cfRule>
    <cfRule type="cellIs" dxfId="2942" priority="7458" stopIfTrue="1" operator="notEqual">
      <formula>0</formula>
    </cfRule>
  </conditionalFormatting>
  <conditionalFormatting sqref="O317">
    <cfRule type="expression" dxfId="2941" priority="7459" stopIfTrue="1">
      <formula>OR($O$317="F/S",$O$317="")</formula>
    </cfRule>
    <cfRule type="cellIs" dxfId="2940" priority="7460" stopIfTrue="1" operator="notEqual">
      <formula>0</formula>
    </cfRule>
  </conditionalFormatting>
  <conditionalFormatting sqref="L334">
    <cfRule type="expression" dxfId="2939" priority="7461" stopIfTrue="1">
      <formula>OR($L$334="F/S",$L$334="")</formula>
    </cfRule>
    <cfRule type="cellIs" dxfId="2938" priority="7462" stopIfTrue="1" operator="notEqual">
      <formula>0</formula>
    </cfRule>
  </conditionalFormatting>
  <conditionalFormatting sqref="O334">
    <cfRule type="expression" dxfId="2937" priority="7463" stopIfTrue="1">
      <formula>OR($O$334="F/S",$O$334="")</formula>
    </cfRule>
    <cfRule type="cellIs" dxfId="2936" priority="7464" stopIfTrue="1" operator="notEqual">
      <formula>0</formula>
    </cfRule>
  </conditionalFormatting>
  <conditionalFormatting sqref="L430">
    <cfRule type="expression" dxfId="2935" priority="7465" stopIfTrue="1">
      <formula>OR($L$430="F/S",$L$430="")</formula>
    </cfRule>
    <cfRule type="cellIs" dxfId="2934" priority="7466" stopIfTrue="1" operator="notEqual">
      <formula>0</formula>
    </cfRule>
  </conditionalFormatting>
  <conditionalFormatting sqref="O430">
    <cfRule type="expression" dxfId="2933" priority="7467" stopIfTrue="1">
      <formula>OR($O$430="F/S",$O$430="")</formula>
    </cfRule>
    <cfRule type="cellIs" dxfId="2932" priority="7468" stopIfTrue="1" operator="notEqual">
      <formula>0</formula>
    </cfRule>
  </conditionalFormatting>
  <conditionalFormatting sqref="L356">
    <cfRule type="expression" dxfId="2931" priority="7469" stopIfTrue="1">
      <formula>OR($L$356="F/S",$L$356="")</formula>
    </cfRule>
    <cfRule type="cellIs" dxfId="2930" priority="7470" stopIfTrue="1" operator="notEqual">
      <formula>0</formula>
    </cfRule>
  </conditionalFormatting>
  <conditionalFormatting sqref="O356">
    <cfRule type="expression" dxfId="2929" priority="7471" stopIfTrue="1">
      <formula>OR($O$356="F/S",$O$356="")</formula>
    </cfRule>
    <cfRule type="cellIs" dxfId="2928" priority="7472" stopIfTrue="1" operator="notEqual">
      <formula>0</formula>
    </cfRule>
  </conditionalFormatting>
  <conditionalFormatting sqref="L378">
    <cfRule type="expression" dxfId="2927" priority="7473" stopIfTrue="1">
      <formula>OR($L$378="F/S",$L$378="")</formula>
    </cfRule>
    <cfRule type="cellIs" dxfId="2926" priority="7474" stopIfTrue="1" operator="notEqual">
      <formula>0</formula>
    </cfRule>
  </conditionalFormatting>
  <conditionalFormatting sqref="O378">
    <cfRule type="expression" dxfId="2925" priority="7475" stopIfTrue="1">
      <formula>OR($O$378="F/S",$O$378="")</formula>
    </cfRule>
    <cfRule type="cellIs" dxfId="2924" priority="7476" stopIfTrue="1" operator="notEqual">
      <formula>0</formula>
    </cfRule>
  </conditionalFormatting>
  <conditionalFormatting sqref="L400">
    <cfRule type="expression" dxfId="2923" priority="7477" stopIfTrue="1">
      <formula>OR($L$400="F/S",$L$400="")</formula>
    </cfRule>
    <cfRule type="cellIs" dxfId="2922" priority="7478" stopIfTrue="1" operator="notEqual">
      <formula>0</formula>
    </cfRule>
  </conditionalFormatting>
  <conditionalFormatting sqref="O400">
    <cfRule type="expression" dxfId="2921" priority="7479" stopIfTrue="1">
      <formula>OR($O$400="F/S",$O$400="")</formula>
    </cfRule>
    <cfRule type="cellIs" dxfId="2920" priority="7480" stopIfTrue="1" operator="notEqual">
      <formula>0</formula>
    </cfRule>
  </conditionalFormatting>
  <conditionalFormatting sqref="L515">
    <cfRule type="expression" dxfId="2919" priority="7481" stopIfTrue="1">
      <formula>OR($L$515="F/S",$L$515="")</formula>
    </cfRule>
    <cfRule type="cellIs" dxfId="2918" priority="7482" stopIfTrue="1" operator="notEqual">
      <formula>0</formula>
    </cfRule>
  </conditionalFormatting>
  <conditionalFormatting sqref="O515">
    <cfRule type="expression" dxfId="2917" priority="7483" stopIfTrue="1">
      <formula>OR($O$515="F/S",$O$515="")</formula>
    </cfRule>
    <cfRule type="cellIs" dxfId="2916" priority="7484" stopIfTrue="1" operator="notEqual">
      <formula>0</formula>
    </cfRule>
  </conditionalFormatting>
  <conditionalFormatting sqref="L535">
    <cfRule type="expression" dxfId="2915" priority="7485" stopIfTrue="1">
      <formula>OR($L$535="F/S",$L$535="")</formula>
    </cfRule>
    <cfRule type="cellIs" dxfId="2914" priority="7486" stopIfTrue="1" operator="notEqual">
      <formula>0</formula>
    </cfRule>
  </conditionalFormatting>
  <conditionalFormatting sqref="O535">
    <cfRule type="expression" dxfId="2913" priority="7487" stopIfTrue="1">
      <formula>OR($O$535="F/S",$O$535="")</formula>
    </cfRule>
    <cfRule type="cellIs" dxfId="2912" priority="7488" stopIfTrue="1" operator="notEqual">
      <formula>0</formula>
    </cfRule>
  </conditionalFormatting>
  <conditionalFormatting sqref="L579">
    <cfRule type="expression" dxfId="2911" priority="7489" stopIfTrue="1">
      <formula>OR($L$579="F/S",$L$579="")</formula>
    </cfRule>
    <cfRule type="cellIs" dxfId="2910" priority="7490" stopIfTrue="1" operator="notEqual">
      <formula>0</formula>
    </cfRule>
  </conditionalFormatting>
  <conditionalFormatting sqref="O579">
    <cfRule type="expression" dxfId="2909" priority="7491" stopIfTrue="1">
      <formula>OR($O$579="F/S",$O$579="")</formula>
    </cfRule>
    <cfRule type="cellIs" dxfId="2908" priority="7492" stopIfTrue="1" operator="notEqual">
      <formula>0</formula>
    </cfRule>
  </conditionalFormatting>
  <conditionalFormatting sqref="L601">
    <cfRule type="expression" dxfId="2907" priority="7493" stopIfTrue="1">
      <formula>OR($L$601="F/S",$L$601="")</formula>
    </cfRule>
    <cfRule type="cellIs" dxfId="2906" priority="7494" stopIfTrue="1" operator="notEqual">
      <formula>0</formula>
    </cfRule>
  </conditionalFormatting>
  <conditionalFormatting sqref="O601">
    <cfRule type="expression" dxfId="2905" priority="7495" stopIfTrue="1">
      <formula>OR($O$601="F/S",$O$601="")</formula>
    </cfRule>
    <cfRule type="cellIs" dxfId="2904" priority="7496" stopIfTrue="1" operator="notEqual">
      <formula>0</formula>
    </cfRule>
  </conditionalFormatting>
  <conditionalFormatting sqref="L611">
    <cfRule type="expression" dxfId="2903" priority="7497" stopIfTrue="1">
      <formula>OR($L$611="F/S",$L$611="")</formula>
    </cfRule>
    <cfRule type="cellIs" dxfId="2902" priority="7498" stopIfTrue="1" operator="notEqual">
      <formula>0</formula>
    </cfRule>
  </conditionalFormatting>
  <conditionalFormatting sqref="O611">
    <cfRule type="expression" dxfId="2901" priority="7499" stopIfTrue="1">
      <formula>OR($O$611="F/S",$O$611="")</formula>
    </cfRule>
    <cfRule type="cellIs" dxfId="2900" priority="7500" stopIfTrue="1" operator="notEqual">
      <formula>0</formula>
    </cfRule>
  </conditionalFormatting>
  <conditionalFormatting sqref="L618">
    <cfRule type="expression" dxfId="2899" priority="7501" stopIfTrue="1">
      <formula>OR($L$618="F/S",$L$618="")</formula>
    </cfRule>
    <cfRule type="cellIs" dxfId="2898" priority="7502" stopIfTrue="1" operator="notEqual">
      <formula>0</formula>
    </cfRule>
  </conditionalFormatting>
  <conditionalFormatting sqref="O618">
    <cfRule type="expression" dxfId="2897" priority="7503" stopIfTrue="1">
      <formula>OR($O$618="F/S",$O$618="")</formula>
    </cfRule>
    <cfRule type="cellIs" dxfId="2896" priority="7504" stopIfTrue="1" operator="notEqual">
      <formula>0</formula>
    </cfRule>
  </conditionalFormatting>
  <conditionalFormatting sqref="L629">
    <cfRule type="expression" dxfId="2895" priority="7505" stopIfTrue="1">
      <formula>OR($L$629="F/S",$L$629="")</formula>
    </cfRule>
    <cfRule type="cellIs" dxfId="2894" priority="7506" stopIfTrue="1" operator="notEqual">
      <formula>0</formula>
    </cfRule>
  </conditionalFormatting>
  <conditionalFormatting sqref="O629">
    <cfRule type="expression" dxfId="2893" priority="7507" stopIfTrue="1">
      <formula>OR($O$629="F/S",$O$629="")</formula>
    </cfRule>
    <cfRule type="cellIs" dxfId="2892" priority="7508" stopIfTrue="1" operator="notEqual">
      <formula>0</formula>
    </cfRule>
  </conditionalFormatting>
  <conditionalFormatting sqref="L648">
    <cfRule type="expression" dxfId="2891" priority="7509" stopIfTrue="1">
      <formula>OR($L$648="F/S",$L$648="")</formula>
    </cfRule>
    <cfRule type="cellIs" dxfId="2890" priority="7510" stopIfTrue="1" operator="notEqual">
      <formula>0</formula>
    </cfRule>
  </conditionalFormatting>
  <conditionalFormatting sqref="O648">
    <cfRule type="expression" dxfId="2889" priority="7511" stopIfTrue="1">
      <formula>OR($O$648="F/S",$O$648="")</formula>
    </cfRule>
    <cfRule type="cellIs" dxfId="2888" priority="7512" stopIfTrue="1" operator="notEqual">
      <formula>0</formula>
    </cfRule>
  </conditionalFormatting>
  <conditionalFormatting sqref="L658">
    <cfRule type="expression" dxfId="2887" priority="7513" stopIfTrue="1">
      <formula>OR($L$658="F/S",$L$658="")</formula>
    </cfRule>
    <cfRule type="cellIs" dxfId="2886" priority="7514" stopIfTrue="1" operator="notEqual">
      <formula>0</formula>
    </cfRule>
  </conditionalFormatting>
  <conditionalFormatting sqref="O658">
    <cfRule type="expression" dxfId="2885" priority="7515" stopIfTrue="1">
      <formula>OR($O$658="F/S",$O$658="")</formula>
    </cfRule>
    <cfRule type="cellIs" dxfId="2884" priority="7516" stopIfTrue="1" operator="notEqual">
      <formula>0</formula>
    </cfRule>
  </conditionalFormatting>
  <conditionalFormatting sqref="L485">
    <cfRule type="expression" dxfId="2883" priority="7517" stopIfTrue="1">
      <formula>OR($L$485="F/S",$L$485="")</formula>
    </cfRule>
    <cfRule type="cellIs" dxfId="2882" priority="7518" stopIfTrue="1" operator="notEqual">
      <formula>0</formula>
    </cfRule>
  </conditionalFormatting>
  <conditionalFormatting sqref="O485">
    <cfRule type="expression" dxfId="2881" priority="7519" stopIfTrue="1">
      <formula>OR($O$485="F/S",$O$485="")</formula>
    </cfRule>
    <cfRule type="cellIs" dxfId="2880" priority="7520" stopIfTrue="1" operator="notEqual">
      <formula>0</formula>
    </cfRule>
  </conditionalFormatting>
  <conditionalFormatting sqref="L500">
    <cfRule type="expression" dxfId="2879" priority="7521" stopIfTrue="1">
      <formula>OR($L$500="F/S",$L$500="")</formula>
    </cfRule>
    <cfRule type="cellIs" dxfId="2878" priority="7522" stopIfTrue="1" operator="notEqual">
      <formula>0</formula>
    </cfRule>
  </conditionalFormatting>
  <conditionalFormatting sqref="O500">
    <cfRule type="expression" dxfId="2877" priority="7523" stopIfTrue="1">
      <formula>OR($O$500="F/S",$O$500="")</formula>
    </cfRule>
    <cfRule type="cellIs" dxfId="2876" priority="7524" stopIfTrue="1" operator="notEqual">
      <formula>0</formula>
    </cfRule>
  </conditionalFormatting>
  <conditionalFormatting sqref="L559">
    <cfRule type="expression" dxfId="2875" priority="7525" stopIfTrue="1">
      <formula>OR($L$559="F/S",$L$559="")</formula>
    </cfRule>
    <cfRule type="cellIs" dxfId="2874" priority="7526" stopIfTrue="1" operator="notEqual">
      <formula>0</formula>
    </cfRule>
  </conditionalFormatting>
  <conditionalFormatting sqref="O559">
    <cfRule type="expression" dxfId="2873" priority="7527" stopIfTrue="1">
      <formula>OR($O$559="F/S",$O$559="")</formula>
    </cfRule>
    <cfRule type="cellIs" dxfId="2872" priority="7528" stopIfTrue="1" operator="notEqual">
      <formula>0</formula>
    </cfRule>
  </conditionalFormatting>
  <conditionalFormatting sqref="L569">
    <cfRule type="expression" dxfId="2871" priority="7529" stopIfTrue="1">
      <formula>OR($L$569="F/S",$L$569="")</formula>
    </cfRule>
    <cfRule type="cellIs" dxfId="2870" priority="7530" stopIfTrue="1" operator="notEqual">
      <formula>0</formula>
    </cfRule>
  </conditionalFormatting>
  <conditionalFormatting sqref="O569">
    <cfRule type="expression" dxfId="2869" priority="7531" stopIfTrue="1">
      <formula>OR($O$569="F/S",$O$569="")</formula>
    </cfRule>
    <cfRule type="cellIs" dxfId="2868" priority="7532" stopIfTrue="1" operator="notEqual">
      <formula>0</formula>
    </cfRule>
  </conditionalFormatting>
  <conditionalFormatting sqref="L668">
    <cfRule type="expression" dxfId="2867" priority="7537" stopIfTrue="1">
      <formula>OR($L$668="F/S",$L$668="")</formula>
    </cfRule>
    <cfRule type="cellIs" dxfId="2866" priority="7538" stopIfTrue="1" operator="notEqual">
      <formula>0</formula>
    </cfRule>
  </conditionalFormatting>
  <conditionalFormatting sqref="O668">
    <cfRule type="expression" dxfId="2865" priority="7539" stopIfTrue="1">
      <formula>OR($O$668="F/S",$O$668="")</formula>
    </cfRule>
    <cfRule type="cellIs" dxfId="2864" priority="7540" stopIfTrue="1" operator="notEqual">
      <formula>0</formula>
    </cfRule>
  </conditionalFormatting>
  <conditionalFormatting sqref="L678">
    <cfRule type="expression" dxfId="2863" priority="7541" stopIfTrue="1">
      <formula>OR($L$678="F/S",$L$678="")</formula>
    </cfRule>
    <cfRule type="cellIs" dxfId="2862" priority="7542" stopIfTrue="1" operator="notEqual">
      <formula>0</formula>
    </cfRule>
  </conditionalFormatting>
  <conditionalFormatting sqref="O678">
    <cfRule type="expression" dxfId="2861" priority="7543" stopIfTrue="1">
      <formula>OR($O$678="F/S",$O$678="")</formula>
    </cfRule>
    <cfRule type="cellIs" dxfId="2860" priority="7544" stopIfTrue="1" operator="notEqual">
      <formula>0</formula>
    </cfRule>
  </conditionalFormatting>
  <conditionalFormatting sqref="L688">
    <cfRule type="expression" dxfId="2859" priority="7545" stopIfTrue="1">
      <formula>OR($L$688="F/S",$L$688="")</formula>
    </cfRule>
    <cfRule type="cellIs" dxfId="2858" priority="7546" stopIfTrue="1" operator="notEqual">
      <formula>0</formula>
    </cfRule>
  </conditionalFormatting>
  <conditionalFormatting sqref="O688">
    <cfRule type="expression" dxfId="2857" priority="7547" stopIfTrue="1">
      <formula>OR($O$688="F/S",$O$688="")</formula>
    </cfRule>
    <cfRule type="cellIs" dxfId="2856" priority="7548" stopIfTrue="1" operator="notEqual">
      <formula>0</formula>
    </cfRule>
  </conditionalFormatting>
  <conditionalFormatting sqref="L698">
    <cfRule type="expression" dxfId="2855" priority="7553" stopIfTrue="1">
      <formula>OR($L$698="F/S",$L$698="")</formula>
    </cfRule>
    <cfRule type="cellIs" dxfId="2854" priority="7554" stopIfTrue="1" operator="notEqual">
      <formula>0</formula>
    </cfRule>
  </conditionalFormatting>
  <conditionalFormatting sqref="O698">
    <cfRule type="expression" dxfId="2853" priority="7555" stopIfTrue="1">
      <formula>OR($O$698="F/S",$O$698="")</formula>
    </cfRule>
    <cfRule type="cellIs" dxfId="2852" priority="7556" stopIfTrue="1" operator="notEqual">
      <formula>0</formula>
    </cfRule>
  </conditionalFormatting>
  <conditionalFormatting sqref="L706">
    <cfRule type="expression" dxfId="2851" priority="7557" stopIfTrue="1">
      <formula>OR($L$706="F/S",$L$706="")</formula>
    </cfRule>
    <cfRule type="cellIs" dxfId="2850" priority="7558" stopIfTrue="1" operator="notEqual">
      <formula>0</formula>
    </cfRule>
  </conditionalFormatting>
  <conditionalFormatting sqref="O706">
    <cfRule type="expression" dxfId="2849" priority="7559" stopIfTrue="1">
      <formula>OR($O$706="F/S",$O$706="")</formula>
    </cfRule>
    <cfRule type="cellIs" dxfId="2848" priority="7560" stopIfTrue="1" operator="notEqual">
      <formula>0</formula>
    </cfRule>
  </conditionalFormatting>
  <conditionalFormatting sqref="L721">
    <cfRule type="expression" dxfId="2847" priority="7561" stopIfTrue="1">
      <formula>OR($L$721="F/S",$L$721="")</formula>
    </cfRule>
    <cfRule type="cellIs" dxfId="2846" priority="7562" stopIfTrue="1" operator="notEqual">
      <formula>0</formula>
    </cfRule>
  </conditionalFormatting>
  <conditionalFormatting sqref="O721">
    <cfRule type="expression" dxfId="2845" priority="7563" stopIfTrue="1">
      <formula>OR($O$721="F/S",$O$721="")</formula>
    </cfRule>
    <cfRule type="cellIs" dxfId="2844" priority="7564" stopIfTrue="1" operator="notEqual">
      <formula>0</formula>
    </cfRule>
  </conditionalFormatting>
  <conditionalFormatting sqref="L740">
    <cfRule type="expression" dxfId="2843" priority="7565" stopIfTrue="1">
      <formula>OR($L$740="F/S",$L$740="")</formula>
    </cfRule>
    <cfRule type="cellIs" dxfId="2842" priority="7566" stopIfTrue="1" operator="notEqual">
      <formula>0</formula>
    </cfRule>
  </conditionalFormatting>
  <conditionalFormatting sqref="O740">
    <cfRule type="expression" dxfId="2841" priority="7567" stopIfTrue="1">
      <formula>OR($O$740="F/S",$O$740="")</formula>
    </cfRule>
    <cfRule type="cellIs" dxfId="2840" priority="7568" stopIfTrue="1" operator="notEqual">
      <formula>0</formula>
    </cfRule>
  </conditionalFormatting>
  <conditionalFormatting sqref="L848">
    <cfRule type="expression" dxfId="2839" priority="7569" stopIfTrue="1">
      <formula>OR($L$848="F/S",$L$848="")</formula>
    </cfRule>
    <cfRule type="cellIs" dxfId="2838" priority="7570" stopIfTrue="1" operator="notEqual">
      <formula>0</formula>
    </cfRule>
  </conditionalFormatting>
  <conditionalFormatting sqref="O848">
    <cfRule type="expression" dxfId="2837" priority="7571" stopIfTrue="1">
      <formula>OR($O$848="F/S",$O$848="")</formula>
    </cfRule>
    <cfRule type="cellIs" dxfId="2836" priority="7572" stopIfTrue="1" operator="notEqual">
      <formula>0</formula>
    </cfRule>
  </conditionalFormatting>
  <conditionalFormatting sqref="L859">
    <cfRule type="expression" dxfId="2835" priority="7573" stopIfTrue="1">
      <formula>OR($L$859="F/S",$L$859="")</formula>
    </cfRule>
    <cfRule type="cellIs" dxfId="2834" priority="7574" stopIfTrue="1" operator="notEqual">
      <formula>0</formula>
    </cfRule>
  </conditionalFormatting>
  <conditionalFormatting sqref="O859">
    <cfRule type="expression" dxfId="2833" priority="7575" stopIfTrue="1">
      <formula>OR($O$859="F/S",$O$859="")</formula>
    </cfRule>
    <cfRule type="cellIs" dxfId="2832" priority="7576" stopIfTrue="1" operator="notEqual">
      <formula>0</formula>
    </cfRule>
  </conditionalFormatting>
  <conditionalFormatting sqref="L871">
    <cfRule type="expression" dxfId="2831" priority="7577" stopIfTrue="1">
      <formula>OR($L$871="F/S",$L$871="")</formula>
    </cfRule>
    <cfRule type="cellIs" dxfId="2830" priority="7578" stopIfTrue="1" operator="notEqual">
      <formula>0</formula>
    </cfRule>
  </conditionalFormatting>
  <conditionalFormatting sqref="O871">
    <cfRule type="expression" dxfId="2829" priority="7579" stopIfTrue="1">
      <formula>OR($O$871="F/S",$O$871="")</formula>
    </cfRule>
    <cfRule type="cellIs" dxfId="2828" priority="7580" stopIfTrue="1" operator="notEqual">
      <formula>0</formula>
    </cfRule>
  </conditionalFormatting>
  <conditionalFormatting sqref="L890">
    <cfRule type="expression" dxfId="2827" priority="7581" stopIfTrue="1">
      <formula>OR($L$890="F/S",$L$890="")</formula>
    </cfRule>
    <cfRule type="cellIs" dxfId="2826" priority="7582" stopIfTrue="1" operator="notEqual">
      <formula>0</formula>
    </cfRule>
  </conditionalFormatting>
  <conditionalFormatting sqref="O890">
    <cfRule type="expression" dxfId="2825" priority="7583" stopIfTrue="1">
      <formula>OR($O$890="F/S",$O$890="")</formula>
    </cfRule>
    <cfRule type="cellIs" dxfId="2824" priority="7584" stopIfTrue="1" operator="notEqual">
      <formula>0</formula>
    </cfRule>
  </conditionalFormatting>
  <conditionalFormatting sqref="L910">
    <cfRule type="expression" dxfId="2823" priority="7589" stopIfTrue="1">
      <formula>OR($L$910="F/S",$L$910="")</formula>
    </cfRule>
    <cfRule type="cellIs" dxfId="2822" priority="7590" stopIfTrue="1" operator="notEqual">
      <formula>0</formula>
    </cfRule>
  </conditionalFormatting>
  <conditionalFormatting sqref="O910">
    <cfRule type="expression" dxfId="2821" priority="7591" stopIfTrue="1">
      <formula>OR($O$910="F/S",$O$910="")</formula>
    </cfRule>
    <cfRule type="cellIs" dxfId="2820" priority="7592" stopIfTrue="1" operator="notEqual">
      <formula>0</formula>
    </cfRule>
  </conditionalFormatting>
  <conditionalFormatting sqref="L900">
    <cfRule type="expression" dxfId="2819" priority="7593" stopIfTrue="1">
      <formula>OR($L$900="F/S",$L$900="")</formula>
    </cfRule>
    <cfRule type="cellIs" dxfId="2818" priority="7594" stopIfTrue="1" operator="notEqual">
      <formula>0</formula>
    </cfRule>
  </conditionalFormatting>
  <conditionalFormatting sqref="O900">
    <cfRule type="expression" dxfId="2817" priority="7595" stopIfTrue="1">
      <formula>OR($O$900="F/S",$O$900="")</formula>
    </cfRule>
    <cfRule type="cellIs" dxfId="2816" priority="7596" stopIfTrue="1" operator="notEqual">
      <formula>0</formula>
    </cfRule>
  </conditionalFormatting>
  <conditionalFormatting sqref="L934">
    <cfRule type="expression" dxfId="2815" priority="7601" stopIfTrue="1">
      <formula>OR($L$934="F/S",$L$934="")</formula>
    </cfRule>
    <cfRule type="cellIs" dxfId="2814" priority="7602" stopIfTrue="1" operator="notEqual">
      <formula>0</formula>
    </cfRule>
  </conditionalFormatting>
  <conditionalFormatting sqref="O934">
    <cfRule type="expression" dxfId="2813" priority="7603" stopIfTrue="1">
      <formula>OR($O$934="F/S",$O$934="")</formula>
    </cfRule>
    <cfRule type="cellIs" dxfId="2812" priority="7604" stopIfTrue="1" operator="notEqual">
      <formula>0</formula>
    </cfRule>
  </conditionalFormatting>
  <conditionalFormatting sqref="L944">
    <cfRule type="expression" dxfId="2811" priority="7605" stopIfTrue="1">
      <formula>OR($L$944="F/S",$L$944="")</formula>
    </cfRule>
    <cfRule type="cellIs" dxfId="2810" priority="7606" stopIfTrue="1" operator="notEqual">
      <formula>0</formula>
    </cfRule>
  </conditionalFormatting>
  <conditionalFormatting sqref="O944">
    <cfRule type="expression" dxfId="2809" priority="7607" stopIfTrue="1">
      <formula>OR($O$944="F/S",$O$944="")</formula>
    </cfRule>
    <cfRule type="cellIs" dxfId="2808" priority="7608" stopIfTrue="1" operator="notEqual">
      <formula>0</formula>
    </cfRule>
  </conditionalFormatting>
  <conditionalFormatting sqref="L956">
    <cfRule type="expression" dxfId="2807" priority="7609" stopIfTrue="1">
      <formula>OR($L$956="F/S",$L$956="")</formula>
    </cfRule>
    <cfRule type="cellIs" dxfId="2806" priority="7610" stopIfTrue="1" operator="notEqual">
      <formula>0</formula>
    </cfRule>
  </conditionalFormatting>
  <conditionalFormatting sqref="O956">
    <cfRule type="expression" dxfId="2805" priority="7611" stopIfTrue="1">
      <formula>OR($O$956="F/S",$O$956="")</formula>
    </cfRule>
    <cfRule type="cellIs" dxfId="2804" priority="7612" stopIfTrue="1" operator="notEqual">
      <formula>0</formula>
    </cfRule>
  </conditionalFormatting>
  <conditionalFormatting sqref="L967">
    <cfRule type="expression" dxfId="2803" priority="7613" stopIfTrue="1">
      <formula>OR($L$967="F/S",$L$967="")</formula>
    </cfRule>
    <cfRule type="cellIs" dxfId="2802" priority="7614" stopIfTrue="1" operator="notEqual">
      <formula>0</formula>
    </cfRule>
  </conditionalFormatting>
  <conditionalFormatting sqref="O967">
    <cfRule type="expression" dxfId="2801" priority="7615" stopIfTrue="1">
      <formula>OR($O$967="F/S",$O$967="")</formula>
    </cfRule>
    <cfRule type="cellIs" dxfId="2800" priority="7616" stopIfTrue="1" operator="notEqual">
      <formula>0</formula>
    </cfRule>
  </conditionalFormatting>
  <conditionalFormatting sqref="L977">
    <cfRule type="expression" dxfId="2799" priority="7617" stopIfTrue="1">
      <formula>OR($L$977="F/S",$L$977="")</formula>
    </cfRule>
    <cfRule type="cellIs" dxfId="2798" priority="7618" stopIfTrue="1" operator="notEqual">
      <formula>0</formula>
    </cfRule>
  </conditionalFormatting>
  <conditionalFormatting sqref="O977">
    <cfRule type="expression" dxfId="2797" priority="7619" stopIfTrue="1">
      <formula>OR($O$977="F/S",$O$977="")</formula>
    </cfRule>
    <cfRule type="cellIs" dxfId="2796" priority="7620" stopIfTrue="1" operator="notEqual">
      <formula>0</formula>
    </cfRule>
  </conditionalFormatting>
  <conditionalFormatting sqref="L988">
    <cfRule type="expression" dxfId="2795" priority="7621" stopIfTrue="1">
      <formula>OR($L$988="F/S",$L$988="")</formula>
    </cfRule>
    <cfRule type="cellIs" dxfId="2794" priority="7622" stopIfTrue="1" operator="notEqual">
      <formula>0</formula>
    </cfRule>
  </conditionalFormatting>
  <conditionalFormatting sqref="O988">
    <cfRule type="expression" dxfId="2793" priority="7623" stopIfTrue="1">
      <formula>OR($O$988="F/S",$O$988="")</formula>
    </cfRule>
    <cfRule type="cellIs" dxfId="2792" priority="7624" stopIfTrue="1" operator="notEqual">
      <formula>0</formula>
    </cfRule>
  </conditionalFormatting>
  <conditionalFormatting sqref="L1013">
    <cfRule type="expression" dxfId="2791" priority="7625" stopIfTrue="1">
      <formula>OR($L$1013="F/S",$L$1013="")</formula>
    </cfRule>
    <cfRule type="cellIs" dxfId="2790" priority="7626" stopIfTrue="1" operator="notEqual">
      <formula>0</formula>
    </cfRule>
  </conditionalFormatting>
  <conditionalFormatting sqref="O1013">
    <cfRule type="expression" dxfId="2789" priority="7627" stopIfTrue="1">
      <formula>OR($O$1013="F/S",$O$1013="")</formula>
    </cfRule>
    <cfRule type="cellIs" dxfId="2788" priority="7628" stopIfTrue="1" operator="notEqual">
      <formula>0</formula>
    </cfRule>
  </conditionalFormatting>
  <conditionalFormatting sqref="L1043">
    <cfRule type="expression" dxfId="2787" priority="7629" stopIfTrue="1">
      <formula>OR($L$1043="F/S",$L$1043="")</formula>
    </cfRule>
    <cfRule type="cellIs" dxfId="2786" priority="7630" stopIfTrue="1" operator="notEqual">
      <formula>0</formula>
    </cfRule>
  </conditionalFormatting>
  <conditionalFormatting sqref="O1043">
    <cfRule type="expression" dxfId="2785" priority="7631" stopIfTrue="1">
      <formula>OR($O$1043="F/S",$O$1043="")</formula>
    </cfRule>
    <cfRule type="cellIs" dxfId="2784" priority="7632" stopIfTrue="1" operator="notEqual">
      <formula>0</formula>
    </cfRule>
  </conditionalFormatting>
  <conditionalFormatting sqref="L1219">
    <cfRule type="expression" dxfId="2783" priority="7633" stopIfTrue="1">
      <formula>OR($L$1219="F/S",$L$1219="")</formula>
    </cfRule>
    <cfRule type="cellIs" dxfId="2782" priority="7634" stopIfTrue="1" operator="notEqual">
      <formula>0</formula>
    </cfRule>
  </conditionalFormatting>
  <conditionalFormatting sqref="O1219">
    <cfRule type="expression" dxfId="2781" priority="7635" stopIfTrue="1">
      <formula>OR($O$1219="F/S",$O$1219="")</formula>
    </cfRule>
    <cfRule type="cellIs" dxfId="2780" priority="7636" stopIfTrue="1" operator="notEqual">
      <formula>0</formula>
    </cfRule>
  </conditionalFormatting>
  <conditionalFormatting sqref="L1307">
    <cfRule type="expression" dxfId="2779" priority="7637" stopIfTrue="1">
      <formula>OR($L$1307="F/S",$L$1307="")</formula>
    </cfRule>
    <cfRule type="cellIs" dxfId="2778" priority="7638" stopIfTrue="1" operator="notEqual">
      <formula>0</formula>
    </cfRule>
  </conditionalFormatting>
  <conditionalFormatting sqref="O1307">
    <cfRule type="expression" dxfId="2777" priority="7639" stopIfTrue="1">
      <formula>OR($O$1307="F/S",$O$1307="")</formula>
    </cfRule>
    <cfRule type="cellIs" dxfId="2776" priority="7640" stopIfTrue="1" operator="notEqual">
      <formula>0</formula>
    </cfRule>
  </conditionalFormatting>
  <conditionalFormatting sqref="L1409">
    <cfRule type="expression" dxfId="2775" priority="7641" stopIfTrue="1">
      <formula>OR($L$1409="F/S",$L$1409="")</formula>
    </cfRule>
    <cfRule type="cellIs" dxfId="2774" priority="7642" stopIfTrue="1" operator="notEqual">
      <formula>0</formula>
    </cfRule>
  </conditionalFormatting>
  <conditionalFormatting sqref="O1409">
    <cfRule type="expression" dxfId="2773" priority="7643" stopIfTrue="1">
      <formula>OR($O$1409="F/S",$O$1409="")</formula>
    </cfRule>
    <cfRule type="cellIs" dxfId="2772" priority="7644" stopIfTrue="1" operator="notEqual">
      <formula>0</formula>
    </cfRule>
  </conditionalFormatting>
  <conditionalFormatting sqref="L1116">
    <cfRule type="expression" dxfId="2771" priority="7645" stopIfTrue="1">
      <formula>OR($L$1116="F/S",$L$1116="")</formula>
    </cfRule>
    <cfRule type="cellIs" dxfId="2770" priority="7646" stopIfTrue="1" operator="notEqual">
      <formula>0</formula>
    </cfRule>
  </conditionalFormatting>
  <conditionalFormatting sqref="O1116">
    <cfRule type="expression" dxfId="2769" priority="7647" stopIfTrue="1">
      <formula>OR($O$1116="F/S",$O$1116="")</formula>
    </cfRule>
    <cfRule type="cellIs" dxfId="2768" priority="7648" stopIfTrue="1" operator="notEqual">
      <formula>0</formula>
    </cfRule>
  </conditionalFormatting>
  <conditionalFormatting sqref="L1326">
    <cfRule type="expression" dxfId="2767" priority="7649" stopIfTrue="1">
      <formula>OR($L$1326="F/S",$L$1326="")</formula>
    </cfRule>
    <cfRule type="cellIs" dxfId="2766" priority="7650" stopIfTrue="1" operator="notEqual">
      <formula>0</formula>
    </cfRule>
  </conditionalFormatting>
  <conditionalFormatting sqref="O1326">
    <cfRule type="expression" dxfId="2765" priority="7651" stopIfTrue="1">
      <formula>OR($O$1326="F/S",$O$1326="")</formula>
    </cfRule>
    <cfRule type="cellIs" dxfId="2764" priority="7652" stopIfTrue="1" operator="notEqual">
      <formula>0</formula>
    </cfRule>
  </conditionalFormatting>
  <conditionalFormatting sqref="L1348">
    <cfRule type="expression" dxfId="2763" priority="7653" stopIfTrue="1">
      <formula>OR($L$1348="F/S",$L$1348="")</formula>
    </cfRule>
    <cfRule type="cellIs" dxfId="2762" priority="7654" stopIfTrue="1" operator="notEqual">
      <formula>0</formula>
    </cfRule>
  </conditionalFormatting>
  <conditionalFormatting sqref="O1348">
    <cfRule type="expression" dxfId="2761" priority="7655" stopIfTrue="1">
      <formula>OR($O$1348="F/S",$O$1348="")</formula>
    </cfRule>
    <cfRule type="cellIs" dxfId="2760" priority="7656" stopIfTrue="1" operator="notEqual">
      <formula>0</formula>
    </cfRule>
  </conditionalFormatting>
  <conditionalFormatting sqref="L1469">
    <cfRule type="expression" dxfId="2759" priority="7657" stopIfTrue="1">
      <formula>OR($L$1469="F/S",$L$1469="")</formula>
    </cfRule>
    <cfRule type="cellIs" dxfId="2758" priority="7658" stopIfTrue="1" operator="notEqual">
      <formula>0</formula>
    </cfRule>
  </conditionalFormatting>
  <conditionalFormatting sqref="O1469">
    <cfRule type="expression" dxfId="2757" priority="7659" stopIfTrue="1">
      <formula>OR($O$1469="F/S",$O$1469="")</formula>
    </cfRule>
    <cfRule type="cellIs" dxfId="2756" priority="7660" stopIfTrue="1" operator="notEqual">
      <formula>0</formula>
    </cfRule>
  </conditionalFormatting>
  <conditionalFormatting sqref="L1510">
    <cfRule type="expression" dxfId="2755" priority="7661" stopIfTrue="1">
      <formula>OR($L$1510="F/S",$L$1510="")</formula>
    </cfRule>
    <cfRule type="cellIs" dxfId="2754" priority="7662" stopIfTrue="1" operator="notEqual">
      <formula>0</formula>
    </cfRule>
  </conditionalFormatting>
  <conditionalFormatting sqref="O1510">
    <cfRule type="expression" dxfId="2753" priority="7663" stopIfTrue="1">
      <formula>OR($O$1510="F/S",$O$1510="")</formula>
    </cfRule>
    <cfRule type="cellIs" dxfId="2752" priority="7664" stopIfTrue="1" operator="notEqual">
      <formula>0</formula>
    </cfRule>
  </conditionalFormatting>
  <conditionalFormatting sqref="L1520">
    <cfRule type="expression" dxfId="2751" priority="7665" stopIfTrue="1">
      <formula>OR($L$1520="F/S",$L$1520="")</formula>
    </cfRule>
    <cfRule type="cellIs" dxfId="2750" priority="7666" stopIfTrue="1" operator="notEqual">
      <formula>0</formula>
    </cfRule>
  </conditionalFormatting>
  <conditionalFormatting sqref="O1520">
    <cfRule type="expression" dxfId="2749" priority="7667" stopIfTrue="1">
      <formula>OR($O$1520="F/S",$O$1520="")</formula>
    </cfRule>
    <cfRule type="cellIs" dxfId="2748" priority="7668" stopIfTrue="1" operator="notEqual">
      <formula>0</formula>
    </cfRule>
  </conditionalFormatting>
  <conditionalFormatting sqref="L1527">
    <cfRule type="expression" dxfId="2747" priority="7669" stopIfTrue="1">
      <formula>OR($L$1527="F/S",$L$1527="")</formula>
    </cfRule>
    <cfRule type="cellIs" dxfId="2746" priority="7670" stopIfTrue="1" operator="notEqual">
      <formula>0</formula>
    </cfRule>
  </conditionalFormatting>
  <conditionalFormatting sqref="O1527">
    <cfRule type="expression" dxfId="2745" priority="7671" stopIfTrue="1">
      <formula>OR($O$1527="F/S",$O$1527="")</formula>
    </cfRule>
    <cfRule type="cellIs" dxfId="2744" priority="7672" stopIfTrue="1" operator="notEqual">
      <formula>0</formula>
    </cfRule>
  </conditionalFormatting>
  <conditionalFormatting sqref="L1538">
    <cfRule type="expression" dxfId="2743" priority="7673" stopIfTrue="1">
      <formula>OR($L$1538="F/S",$L$1538="")</formula>
    </cfRule>
    <cfRule type="cellIs" dxfId="2742" priority="7674" stopIfTrue="1" operator="notEqual">
      <formula>0</formula>
    </cfRule>
  </conditionalFormatting>
  <conditionalFormatting sqref="O1538">
    <cfRule type="expression" dxfId="2741" priority="7675" stopIfTrue="1">
      <formula>OR($O$1538="F/S",$O$1538="")</formula>
    </cfRule>
    <cfRule type="cellIs" dxfId="2740" priority="7676" stopIfTrue="1" operator="notEqual">
      <formula>0</formula>
    </cfRule>
  </conditionalFormatting>
  <conditionalFormatting sqref="L1557">
    <cfRule type="expression" dxfId="2739" priority="7677" stopIfTrue="1">
      <formula>OR($L$1557="F/S",$L$1557="")</formula>
    </cfRule>
    <cfRule type="cellIs" dxfId="2738" priority="7678" stopIfTrue="1" operator="notEqual">
      <formula>0</formula>
    </cfRule>
  </conditionalFormatting>
  <conditionalFormatting sqref="O1557">
    <cfRule type="expression" dxfId="2737" priority="7679" stopIfTrue="1">
      <formula>OR($O$1557="F/S",$O$1557="")</formula>
    </cfRule>
    <cfRule type="cellIs" dxfId="2736" priority="7680" stopIfTrue="1" operator="notEqual">
      <formula>0</formula>
    </cfRule>
  </conditionalFormatting>
  <conditionalFormatting sqref="L1567">
    <cfRule type="expression" dxfId="2735" priority="7681" stopIfTrue="1">
      <formula>OR($L$1567="F/S",$L$1567="")</formula>
    </cfRule>
    <cfRule type="cellIs" dxfId="2734" priority="7682" stopIfTrue="1" operator="notEqual">
      <formula>0</formula>
    </cfRule>
  </conditionalFormatting>
  <conditionalFormatting sqref="O1567">
    <cfRule type="expression" dxfId="2733" priority="7683" stopIfTrue="1">
      <formula>OR($O$1567="F/S",$O$1567="")</formula>
    </cfRule>
    <cfRule type="cellIs" dxfId="2732" priority="7684" stopIfTrue="1" operator="notEqual">
      <formula>0</formula>
    </cfRule>
  </conditionalFormatting>
  <conditionalFormatting sqref="L1577">
    <cfRule type="expression" dxfId="2731" priority="7685" stopIfTrue="1">
      <formula>OR($L$1577="F/S",$L$1577="")</formula>
    </cfRule>
    <cfRule type="cellIs" dxfId="2730" priority="7686" stopIfTrue="1" operator="notEqual">
      <formula>0</formula>
    </cfRule>
  </conditionalFormatting>
  <conditionalFormatting sqref="O1577">
    <cfRule type="expression" dxfId="2729" priority="7687" stopIfTrue="1">
      <formula>OR($O$1577="F/S",$O$1577="")</formula>
    </cfRule>
    <cfRule type="cellIs" dxfId="2728" priority="7688" stopIfTrue="1" operator="notEqual">
      <formula>0</formula>
    </cfRule>
  </conditionalFormatting>
  <conditionalFormatting sqref="L1365">
    <cfRule type="expression" dxfId="2727" priority="7689" stopIfTrue="1">
      <formula>OR($L$1365="F/S",$L$1365="")</formula>
    </cfRule>
    <cfRule type="cellIs" dxfId="2726" priority="7690" stopIfTrue="1" operator="notEqual">
      <formula>0</formula>
    </cfRule>
  </conditionalFormatting>
  <conditionalFormatting sqref="O1365">
    <cfRule type="expression" dxfId="2725" priority="7691" stopIfTrue="1">
      <formula>OR($O$1365="F/S",$O$1365="")</formula>
    </cfRule>
    <cfRule type="cellIs" dxfId="2724" priority="7692" stopIfTrue="1" operator="notEqual">
      <formula>0</formula>
    </cfRule>
  </conditionalFormatting>
  <conditionalFormatting sqref="L1387">
    <cfRule type="expression" dxfId="2723" priority="7693" stopIfTrue="1">
      <formula>OR($L$1387="F/S",$L$1387="")</formula>
    </cfRule>
    <cfRule type="cellIs" dxfId="2722" priority="7694" stopIfTrue="1" operator="notEqual">
      <formula>0</formula>
    </cfRule>
  </conditionalFormatting>
  <conditionalFormatting sqref="O1387">
    <cfRule type="expression" dxfId="2721" priority="7695" stopIfTrue="1">
      <formula>OR($O$1387="F/S",$O$1387="")</formula>
    </cfRule>
    <cfRule type="cellIs" dxfId="2720" priority="7696" stopIfTrue="1" operator="notEqual">
      <formula>0</formula>
    </cfRule>
  </conditionalFormatting>
  <conditionalFormatting sqref="L1587">
    <cfRule type="expression" dxfId="2719" priority="7697" stopIfTrue="1">
      <formula>OR($L$1587="F/S",$L$1587="")</formula>
    </cfRule>
    <cfRule type="cellIs" dxfId="2718" priority="7698" stopIfTrue="1" operator="notEqual">
      <formula>0</formula>
    </cfRule>
  </conditionalFormatting>
  <conditionalFormatting sqref="O1587">
    <cfRule type="expression" dxfId="2717" priority="7699" stopIfTrue="1">
      <formula>OR($O$1587="F/S",$O$1587="")</formula>
    </cfRule>
    <cfRule type="cellIs" dxfId="2716" priority="7700" stopIfTrue="1" operator="notEqual">
      <formula>0</formula>
    </cfRule>
  </conditionalFormatting>
  <conditionalFormatting sqref="L1428">
    <cfRule type="expression" dxfId="2715" priority="7701" stopIfTrue="1">
      <formula>OR($L$1428="F/S",$L$1428="")</formula>
    </cfRule>
    <cfRule type="cellIs" dxfId="2714" priority="7702" stopIfTrue="1" operator="notEqual">
      <formula>0</formula>
    </cfRule>
  </conditionalFormatting>
  <conditionalFormatting sqref="O1428">
    <cfRule type="expression" dxfId="2713" priority="7703" stopIfTrue="1">
      <formula>OR($O$1428="F/S",$O$1428="")</formula>
    </cfRule>
    <cfRule type="cellIs" dxfId="2712" priority="7704" stopIfTrue="1" operator="notEqual">
      <formula>0</formula>
    </cfRule>
  </conditionalFormatting>
  <conditionalFormatting sqref="L1449">
    <cfRule type="expression" dxfId="2711" priority="7705" stopIfTrue="1">
      <formula>OR($L$1449="F/S",$L$1449="")</formula>
    </cfRule>
    <cfRule type="cellIs" dxfId="2710" priority="7706" stopIfTrue="1" operator="notEqual">
      <formula>0</formula>
    </cfRule>
  </conditionalFormatting>
  <conditionalFormatting sqref="O1449">
    <cfRule type="expression" dxfId="2709" priority="7707" stopIfTrue="1">
      <formula>OR($O$1449="F/S",$O$1449="")</formula>
    </cfRule>
    <cfRule type="cellIs" dxfId="2708" priority="7708" stopIfTrue="1" operator="notEqual">
      <formula>0</formula>
    </cfRule>
  </conditionalFormatting>
  <conditionalFormatting sqref="L1459">
    <cfRule type="expression" dxfId="2707" priority="7709" stopIfTrue="1">
      <formula>OR($L$1459="F/S",$L$1459="")</formula>
    </cfRule>
    <cfRule type="cellIs" dxfId="2706" priority="7710" stopIfTrue="1" operator="notEqual">
      <formula>0</formula>
    </cfRule>
  </conditionalFormatting>
  <conditionalFormatting sqref="O1459">
    <cfRule type="expression" dxfId="2705" priority="7711" stopIfTrue="1">
      <formula>OR($O$1459="F/S",$O$1459="")</formula>
    </cfRule>
    <cfRule type="cellIs" dxfId="2704" priority="7712" stopIfTrue="1" operator="notEqual">
      <formula>0</formula>
    </cfRule>
  </conditionalFormatting>
  <conditionalFormatting sqref="L1597">
    <cfRule type="expression" dxfId="2703" priority="7713" stopIfTrue="1">
      <formula>OR($L$1597="F/S",$L$1597="")</formula>
    </cfRule>
    <cfRule type="cellIs" dxfId="2702" priority="7714" stopIfTrue="1" operator="notEqual">
      <formula>0</formula>
    </cfRule>
  </conditionalFormatting>
  <conditionalFormatting sqref="O1597">
    <cfRule type="expression" dxfId="2701" priority="7715" stopIfTrue="1">
      <formula>OR($O$1597="F/S",$O$1597="")</formula>
    </cfRule>
    <cfRule type="cellIs" dxfId="2700" priority="7716" stopIfTrue="1" operator="notEqual">
      <formula>0</formula>
    </cfRule>
  </conditionalFormatting>
  <conditionalFormatting sqref="L1607">
    <cfRule type="expression" dxfId="2699" priority="7721" stopIfTrue="1">
      <formula>OR($L$1607="F/S",$L$1607="")</formula>
    </cfRule>
    <cfRule type="cellIs" dxfId="2698" priority="7722" stopIfTrue="1" operator="notEqual">
      <formula>0</formula>
    </cfRule>
  </conditionalFormatting>
  <conditionalFormatting sqref="O1607">
    <cfRule type="expression" dxfId="2697" priority="7723" stopIfTrue="1">
      <formula>OR($O$1607="F/S",$O$1607="")</formula>
    </cfRule>
    <cfRule type="cellIs" dxfId="2696" priority="7724" stopIfTrue="1" operator="notEqual">
      <formula>0</formula>
    </cfRule>
  </conditionalFormatting>
  <conditionalFormatting sqref="L1617">
    <cfRule type="expression" dxfId="2695" priority="7725" stopIfTrue="1">
      <formula>OR($L$1617="F/S",$L$1617="")</formula>
    </cfRule>
    <cfRule type="cellIs" dxfId="2694" priority="7726" stopIfTrue="1" operator="notEqual">
      <formula>0</formula>
    </cfRule>
  </conditionalFormatting>
  <conditionalFormatting sqref="O1617">
    <cfRule type="expression" dxfId="2693" priority="7727" stopIfTrue="1">
      <formula>OR($O$1617="F/S",$O$1617="")</formula>
    </cfRule>
    <cfRule type="cellIs" dxfId="2692" priority="7728" stopIfTrue="1" operator="notEqual">
      <formula>0</formula>
    </cfRule>
  </conditionalFormatting>
  <conditionalFormatting sqref="L1636">
    <cfRule type="expression" dxfId="2691" priority="7729" stopIfTrue="1">
      <formula>OR($L$1636="F/S",$L$1636="")</formula>
    </cfRule>
    <cfRule type="cellIs" dxfId="2690" priority="7730" stopIfTrue="1" operator="notEqual">
      <formula>0</formula>
    </cfRule>
  </conditionalFormatting>
  <conditionalFormatting sqref="O1636">
    <cfRule type="expression" dxfId="2689" priority="7731" stopIfTrue="1">
      <formula>OR($O$1636="F/S",$O$1636="")</formula>
    </cfRule>
    <cfRule type="cellIs" dxfId="2688" priority="7732" stopIfTrue="1" operator="notEqual">
      <formula>0</formula>
    </cfRule>
  </conditionalFormatting>
  <conditionalFormatting sqref="L1655">
    <cfRule type="expression" dxfId="2687" priority="7733" stopIfTrue="1">
      <formula>OR($L$1655="F/S",$L$1655="")</formula>
    </cfRule>
    <cfRule type="cellIs" dxfId="2686" priority="7734" stopIfTrue="1" operator="notEqual">
      <formula>0</formula>
    </cfRule>
  </conditionalFormatting>
  <conditionalFormatting sqref="O1655">
    <cfRule type="expression" dxfId="2685" priority="7735" stopIfTrue="1">
      <formula>OR($O$1655="F/S",$O$1655="")</formula>
    </cfRule>
    <cfRule type="cellIs" dxfId="2684" priority="7736" stopIfTrue="1" operator="notEqual">
      <formula>0</formula>
    </cfRule>
  </conditionalFormatting>
  <conditionalFormatting sqref="L1665">
    <cfRule type="expression" dxfId="2683" priority="7737" stopIfTrue="1">
      <formula>OR($L$1665="F/S",$L$1665="")</formula>
    </cfRule>
    <cfRule type="cellIs" dxfId="2682" priority="7738" stopIfTrue="1" operator="notEqual">
      <formula>0</formula>
    </cfRule>
  </conditionalFormatting>
  <conditionalFormatting sqref="O1665">
    <cfRule type="expression" dxfId="2681" priority="7739" stopIfTrue="1">
      <formula>OR($O$1665="F/S",$O$1665="")</formula>
    </cfRule>
    <cfRule type="cellIs" dxfId="2680" priority="7740" stopIfTrue="1" operator="notEqual">
      <formula>0</formula>
    </cfRule>
  </conditionalFormatting>
  <conditionalFormatting sqref="L1736">
    <cfRule type="expression" dxfId="2679" priority="7741" stopIfTrue="1">
      <formula>OR($L$1736="F/S",$L$1736="")</formula>
    </cfRule>
    <cfRule type="cellIs" dxfId="2678" priority="7742" stopIfTrue="1" operator="notEqual">
      <formula>0</formula>
    </cfRule>
  </conditionalFormatting>
  <conditionalFormatting sqref="O1736">
    <cfRule type="expression" dxfId="2677" priority="7743" stopIfTrue="1">
      <formula>OR($O$1736="F/S",$O$1736="")</formula>
    </cfRule>
    <cfRule type="cellIs" dxfId="2676" priority="7744" stopIfTrue="1" operator="notEqual">
      <formula>0</formula>
    </cfRule>
  </conditionalFormatting>
  <conditionalFormatting sqref="L1682">
    <cfRule type="expression" dxfId="2675" priority="7745" stopIfTrue="1">
      <formula>OR($L$1682="F/S",$L$1682="")</formula>
    </cfRule>
    <cfRule type="cellIs" dxfId="2674" priority="7746" stopIfTrue="1" operator="notEqual">
      <formula>0</formula>
    </cfRule>
  </conditionalFormatting>
  <conditionalFormatting sqref="O1682">
    <cfRule type="expression" dxfId="2673" priority="7747" stopIfTrue="1">
      <formula>OR($O$1682="F/S",$O$1682="")</formula>
    </cfRule>
    <cfRule type="cellIs" dxfId="2672" priority="7748" stopIfTrue="1" operator="notEqual">
      <formula>0</formula>
    </cfRule>
  </conditionalFormatting>
  <conditionalFormatting sqref="L1699">
    <cfRule type="expression" dxfId="2671" priority="7749" stopIfTrue="1">
      <formula>OR($L$1699="F/S",$L$1699="")</formula>
    </cfRule>
    <cfRule type="cellIs" dxfId="2670" priority="7750" stopIfTrue="1" operator="notEqual">
      <formula>0</formula>
    </cfRule>
  </conditionalFormatting>
  <conditionalFormatting sqref="O1699">
    <cfRule type="expression" dxfId="2669" priority="7751" stopIfTrue="1">
      <formula>OR($O$1699="F/S",$O$1699="")</formula>
    </cfRule>
    <cfRule type="cellIs" dxfId="2668" priority="7752" stopIfTrue="1" operator="notEqual">
      <formula>0</formula>
    </cfRule>
  </conditionalFormatting>
  <conditionalFormatting sqref="L1716">
    <cfRule type="expression" dxfId="2667" priority="7753" stopIfTrue="1">
      <formula>OR($L$1716="F/S",$L$1716="")</formula>
    </cfRule>
    <cfRule type="cellIs" dxfId="2666" priority="7754" stopIfTrue="1" operator="notEqual">
      <formula>0</formula>
    </cfRule>
  </conditionalFormatting>
  <conditionalFormatting sqref="O1716">
    <cfRule type="expression" dxfId="2665" priority="7755" stopIfTrue="1">
      <formula>OR($O$1716="F/S",$O$1716="")</formula>
    </cfRule>
    <cfRule type="cellIs" dxfId="2664" priority="7756" stopIfTrue="1" operator="notEqual">
      <formula>0</formula>
    </cfRule>
  </conditionalFormatting>
  <conditionalFormatting sqref="L1726">
    <cfRule type="expression" dxfId="2663" priority="7757" stopIfTrue="1">
      <formula>OR($L$1726="F/S",$L$1726="")</formula>
    </cfRule>
    <cfRule type="cellIs" dxfId="2662" priority="7758" stopIfTrue="1" operator="notEqual">
      <formula>0</formula>
    </cfRule>
  </conditionalFormatting>
  <conditionalFormatting sqref="O1726">
    <cfRule type="expression" dxfId="2661" priority="7759" stopIfTrue="1">
      <formula>OR($O$1726="F/S",$O$1726="")</formula>
    </cfRule>
    <cfRule type="cellIs" dxfId="2660" priority="7760" stopIfTrue="1" operator="notEqual">
      <formula>0</formula>
    </cfRule>
  </conditionalFormatting>
  <conditionalFormatting sqref="L1753">
    <cfRule type="expression" dxfId="2659" priority="7761" stopIfTrue="1">
      <formula>OR($L$1753="F/S",$L$1753="")</formula>
    </cfRule>
    <cfRule type="cellIs" dxfId="2658" priority="7762" stopIfTrue="1" operator="notEqual">
      <formula>0</formula>
    </cfRule>
  </conditionalFormatting>
  <conditionalFormatting sqref="O1753">
    <cfRule type="expression" dxfId="2657" priority="7763" stopIfTrue="1">
      <formula>OR($O$1753="F/S",$O$1753="")</formula>
    </cfRule>
    <cfRule type="cellIs" dxfId="2656" priority="7764" stopIfTrue="1" operator="notEqual">
      <formula>0</formula>
    </cfRule>
  </conditionalFormatting>
  <conditionalFormatting sqref="L1774">
    <cfRule type="expression" dxfId="2655" priority="7769" stopIfTrue="1">
      <formula>OR($L$1774="F/S",$L$1774="")</formula>
    </cfRule>
    <cfRule type="cellIs" dxfId="2654" priority="7770" stopIfTrue="1" operator="notEqual">
      <formula>0</formula>
    </cfRule>
  </conditionalFormatting>
  <conditionalFormatting sqref="O1774">
    <cfRule type="expression" dxfId="2653" priority="7771" stopIfTrue="1">
      <formula>OR($O$1774="F/S",$O$1774="")</formula>
    </cfRule>
    <cfRule type="cellIs" dxfId="2652" priority="7772" stopIfTrue="1" operator="notEqual">
      <formula>0</formula>
    </cfRule>
  </conditionalFormatting>
  <conditionalFormatting sqref="L1764">
    <cfRule type="expression" dxfId="2651" priority="7777" stopIfTrue="1">
      <formula>OR($L$1764="F/S",$L$1764="")</formula>
    </cfRule>
    <cfRule type="cellIs" dxfId="2650" priority="7778" stopIfTrue="1" operator="notEqual">
      <formula>0</formula>
    </cfRule>
  </conditionalFormatting>
  <conditionalFormatting sqref="O1764">
    <cfRule type="expression" dxfId="2649" priority="7779" stopIfTrue="1">
      <formula>OR($O$1764="F/S",$O$1764="")</formula>
    </cfRule>
    <cfRule type="cellIs" dxfId="2648" priority="7780" stopIfTrue="1" operator="notEqual">
      <formula>0</formula>
    </cfRule>
  </conditionalFormatting>
  <conditionalFormatting sqref="L1790">
    <cfRule type="expression" dxfId="2647" priority="7793" stopIfTrue="1">
      <formula>OR($L$1790="F/S",$L$1790="")</formula>
    </cfRule>
    <cfRule type="cellIs" dxfId="2646" priority="7794" stopIfTrue="1" operator="notEqual">
      <formula>0</formula>
    </cfRule>
  </conditionalFormatting>
  <conditionalFormatting sqref="O1790">
    <cfRule type="expression" dxfId="2645" priority="7795" stopIfTrue="1">
      <formula>OR($O$1790="F/S",$O$1790="")</formula>
    </cfRule>
    <cfRule type="cellIs" dxfId="2644" priority="7796" stopIfTrue="1" operator="notEqual">
      <formula>0</formula>
    </cfRule>
  </conditionalFormatting>
  <conditionalFormatting sqref="L1799">
    <cfRule type="expression" dxfId="2643" priority="7797" stopIfTrue="1">
      <formula>OR($L$1799="F/S",$L$1799="")</formula>
    </cfRule>
    <cfRule type="cellIs" dxfId="2642" priority="7798" stopIfTrue="1" operator="notEqual">
      <formula>0</formula>
    </cfRule>
  </conditionalFormatting>
  <conditionalFormatting sqref="O1799">
    <cfRule type="expression" dxfId="2641" priority="7799" stopIfTrue="1">
      <formula>OR($O$1799="F/S",$O$1799="")</formula>
    </cfRule>
    <cfRule type="cellIs" dxfId="2640" priority="7800" stopIfTrue="1" operator="notEqual">
      <formula>0</formula>
    </cfRule>
  </conditionalFormatting>
  <conditionalFormatting sqref="L1812">
    <cfRule type="expression" dxfId="2639" priority="7801" stopIfTrue="1">
      <formula>OR($L$1812="F/S",$L$1812="")</formula>
    </cfRule>
    <cfRule type="cellIs" dxfId="2638" priority="7802" stopIfTrue="1" operator="notEqual">
      <formula>0</formula>
    </cfRule>
  </conditionalFormatting>
  <conditionalFormatting sqref="O1812">
    <cfRule type="expression" dxfId="2637" priority="7803" stopIfTrue="1">
      <formula>OR($O$1812="F/S",$O$1812="")</formula>
    </cfRule>
    <cfRule type="cellIs" dxfId="2636" priority="7804" stopIfTrue="1" operator="notEqual">
      <formula>0</formula>
    </cfRule>
  </conditionalFormatting>
  <conditionalFormatting sqref="L1823">
    <cfRule type="expression" dxfId="2635" priority="7805" stopIfTrue="1">
      <formula>OR($L$1823="F/S",$L$1823="")</formula>
    </cfRule>
    <cfRule type="cellIs" dxfId="2634" priority="7806" stopIfTrue="1" operator="notEqual">
      <formula>0</formula>
    </cfRule>
  </conditionalFormatting>
  <conditionalFormatting sqref="O1823">
    <cfRule type="expression" dxfId="2633" priority="7807" stopIfTrue="1">
      <formula>OR($O$1823="F/S",$O$1823="")</formula>
    </cfRule>
    <cfRule type="cellIs" dxfId="2632" priority="7808" stopIfTrue="1" operator="notEqual">
      <formula>0</formula>
    </cfRule>
  </conditionalFormatting>
  <conditionalFormatting sqref="L1838">
    <cfRule type="expression" dxfId="2631" priority="7809" stopIfTrue="1">
      <formula>OR($L$1838="F/S",$L$1838="")</formula>
    </cfRule>
    <cfRule type="cellIs" dxfId="2630" priority="7810" stopIfTrue="1" operator="notEqual">
      <formula>0</formula>
    </cfRule>
  </conditionalFormatting>
  <conditionalFormatting sqref="O1838">
    <cfRule type="expression" dxfId="2629" priority="7811" stopIfTrue="1">
      <formula>OR($O$1838="F/S",$O$1838="")</formula>
    </cfRule>
    <cfRule type="cellIs" dxfId="2628" priority="7812" stopIfTrue="1" operator="notEqual">
      <formula>0</formula>
    </cfRule>
  </conditionalFormatting>
  <conditionalFormatting sqref="L1853">
    <cfRule type="expression" dxfId="2627" priority="7813" stopIfTrue="1">
      <formula>OR($L$1853="F/S",$L$1853="")</formula>
    </cfRule>
    <cfRule type="cellIs" dxfId="2626" priority="7814" stopIfTrue="1" operator="notEqual">
      <formula>0</formula>
    </cfRule>
  </conditionalFormatting>
  <conditionalFormatting sqref="O1853">
    <cfRule type="expression" dxfId="2625" priority="7815" stopIfTrue="1">
      <formula>OR($O$1853="F/S",$O$1853="")</formula>
    </cfRule>
    <cfRule type="cellIs" dxfId="2624" priority="7816" stopIfTrue="1" operator="notEqual">
      <formula>0</formula>
    </cfRule>
  </conditionalFormatting>
  <conditionalFormatting sqref="L1927">
    <cfRule type="expression" dxfId="2623" priority="7829" stopIfTrue="1">
      <formula>OR($L$1927="F/S",$L$1927="")</formula>
    </cfRule>
    <cfRule type="cellIs" dxfId="2622" priority="7830" stopIfTrue="1" operator="notEqual">
      <formula>0</formula>
    </cfRule>
  </conditionalFormatting>
  <conditionalFormatting sqref="O1927">
    <cfRule type="expression" dxfId="2621" priority="7831" stopIfTrue="1">
      <formula>OR($O$1927="F/S",$O$1927="")</formula>
    </cfRule>
    <cfRule type="cellIs" dxfId="2620" priority="7832" stopIfTrue="1" operator="notEqual">
      <formula>0</formula>
    </cfRule>
  </conditionalFormatting>
  <conditionalFormatting sqref="L1869">
    <cfRule type="expression" dxfId="2619" priority="7833" stopIfTrue="1">
      <formula>OR($L$1869="F/S",$L$1869="")</formula>
    </cfRule>
    <cfRule type="cellIs" dxfId="2618" priority="7834" stopIfTrue="1" operator="notEqual">
      <formula>0</formula>
    </cfRule>
  </conditionalFormatting>
  <conditionalFormatting sqref="O1869">
    <cfRule type="expression" dxfId="2617" priority="7835" stopIfTrue="1">
      <formula>OR($O$1869="F/S",$O$1869="")</formula>
    </cfRule>
    <cfRule type="cellIs" dxfId="2616" priority="7836" stopIfTrue="1" operator="notEqual">
      <formula>0</formula>
    </cfRule>
  </conditionalFormatting>
  <conditionalFormatting sqref="L1882">
    <cfRule type="expression" dxfId="2615" priority="7837" stopIfTrue="1">
      <formula>OR($L$1882="F/S",$L$1882="")</formula>
    </cfRule>
    <cfRule type="cellIs" dxfId="2614" priority="7838" stopIfTrue="1" operator="notEqual">
      <formula>0</formula>
    </cfRule>
  </conditionalFormatting>
  <conditionalFormatting sqref="O1882">
    <cfRule type="expression" dxfId="2613" priority="7839" stopIfTrue="1">
      <formula>OR($O$1882="F/S",$O$1882="")</formula>
    </cfRule>
    <cfRule type="cellIs" dxfId="2612" priority="7840" stopIfTrue="1" operator="notEqual">
      <formula>0</formula>
    </cfRule>
  </conditionalFormatting>
  <conditionalFormatting sqref="L1895">
    <cfRule type="expression" dxfId="2611" priority="7841" stopIfTrue="1">
      <formula>OR($L$1895="F/S",$L$1895="")</formula>
    </cfRule>
    <cfRule type="cellIs" dxfId="2610" priority="7842" stopIfTrue="1" operator="notEqual">
      <formula>0</formula>
    </cfRule>
  </conditionalFormatting>
  <conditionalFormatting sqref="O1895">
    <cfRule type="expression" dxfId="2609" priority="7843" stopIfTrue="1">
      <formula>OR($O$1895="F/S",$O$1895="")</formula>
    </cfRule>
    <cfRule type="cellIs" dxfId="2608" priority="7844" stopIfTrue="1" operator="notEqual">
      <formula>0</formula>
    </cfRule>
  </conditionalFormatting>
  <conditionalFormatting sqref="L1908">
    <cfRule type="expression" dxfId="2607" priority="7845" stopIfTrue="1">
      <formula>OR($L$1908="F/S",$L$1908="")</formula>
    </cfRule>
    <cfRule type="cellIs" dxfId="2606" priority="7846" stopIfTrue="1" operator="notEqual">
      <formula>0</formula>
    </cfRule>
  </conditionalFormatting>
  <conditionalFormatting sqref="O1908">
    <cfRule type="expression" dxfId="2605" priority="7847" stopIfTrue="1">
      <formula>OR($O$1908="F/S",$O$1908="")</formula>
    </cfRule>
    <cfRule type="cellIs" dxfId="2604" priority="7848" stopIfTrue="1" operator="notEqual">
      <formula>0</formula>
    </cfRule>
  </conditionalFormatting>
  <conditionalFormatting sqref="L1947">
    <cfRule type="expression" dxfId="2603" priority="7849" stopIfTrue="1">
      <formula>OR($L$1947="F/S",$L$1947="")</formula>
    </cfRule>
    <cfRule type="cellIs" dxfId="2602" priority="7850" stopIfTrue="1" operator="notEqual">
      <formula>0</formula>
    </cfRule>
  </conditionalFormatting>
  <conditionalFormatting sqref="O1947">
    <cfRule type="expression" dxfId="2601" priority="7851" stopIfTrue="1">
      <formula>OR($O$1947="F/S",$O$1947="")</formula>
    </cfRule>
    <cfRule type="cellIs" dxfId="2600" priority="7852" stopIfTrue="1" operator="notEqual">
      <formula>0</formula>
    </cfRule>
  </conditionalFormatting>
  <conditionalFormatting sqref="L1971">
    <cfRule type="expression" dxfId="2599" priority="7857" stopIfTrue="1">
      <formula>OR($L$1971="F/S",$L$1971="")</formula>
    </cfRule>
    <cfRule type="cellIs" dxfId="2598" priority="7858" stopIfTrue="1" operator="notEqual">
      <formula>0</formula>
    </cfRule>
  </conditionalFormatting>
  <conditionalFormatting sqref="O1971">
    <cfRule type="expression" dxfId="2597" priority="7859" stopIfTrue="1">
      <formula>OR($O$1971="F/S",$O$1971="")</formula>
    </cfRule>
    <cfRule type="cellIs" dxfId="2596" priority="7860" stopIfTrue="1" operator="notEqual">
      <formula>0</formula>
    </cfRule>
  </conditionalFormatting>
  <conditionalFormatting sqref="L1986">
    <cfRule type="expression" dxfId="2595" priority="7861" stopIfTrue="1">
      <formula>OR($L$1986="F/S",$L$1986="")</formula>
    </cfRule>
    <cfRule type="cellIs" dxfId="2594" priority="7862" stopIfTrue="1" operator="notEqual">
      <formula>0</formula>
    </cfRule>
  </conditionalFormatting>
  <conditionalFormatting sqref="O1986">
    <cfRule type="expression" dxfId="2593" priority="7863" stopIfTrue="1">
      <formula>OR($O$1986="F/S",$O$1986="")</formula>
    </cfRule>
    <cfRule type="cellIs" dxfId="2592" priority="7864" stopIfTrue="1" operator="notEqual">
      <formula>0</formula>
    </cfRule>
  </conditionalFormatting>
  <conditionalFormatting sqref="L2001">
    <cfRule type="expression" dxfId="2591" priority="7865" stopIfTrue="1">
      <formula>OR($L$2001="F/S",$L$2001="")</formula>
    </cfRule>
    <cfRule type="cellIs" dxfId="2590" priority="7866" stopIfTrue="1" operator="notEqual">
      <formula>0</formula>
    </cfRule>
  </conditionalFormatting>
  <conditionalFormatting sqref="O2001">
    <cfRule type="expression" dxfId="2589" priority="7867" stopIfTrue="1">
      <formula>OR($O$2001="F/S",$O$2001="")</formula>
    </cfRule>
    <cfRule type="cellIs" dxfId="2588" priority="7868" stopIfTrue="1" operator="notEqual">
      <formula>0</formula>
    </cfRule>
  </conditionalFormatting>
  <conditionalFormatting sqref="L2021">
    <cfRule type="expression" dxfId="2587" priority="7869" stopIfTrue="1">
      <formula>OR($L$2021="F/S",$L$2021="")</formula>
    </cfRule>
    <cfRule type="cellIs" dxfId="2586" priority="7870" stopIfTrue="1" operator="notEqual">
      <formula>0</formula>
    </cfRule>
  </conditionalFormatting>
  <conditionalFormatting sqref="O2021">
    <cfRule type="expression" dxfId="2585" priority="7871" stopIfTrue="1">
      <formula>OR($O$2021="F/S",$O$2021="")</formula>
    </cfRule>
    <cfRule type="cellIs" dxfId="2584" priority="7872" stopIfTrue="1" operator="notEqual">
      <formula>0</formula>
    </cfRule>
  </conditionalFormatting>
  <conditionalFormatting sqref="L1961">
    <cfRule type="expression" dxfId="2583" priority="7873" stopIfTrue="1">
      <formula>OR($L$1961="F/S",$L$1961="")</formula>
    </cfRule>
    <cfRule type="cellIs" dxfId="2582" priority="7874" stopIfTrue="1" operator="notEqual">
      <formula>0</formula>
    </cfRule>
  </conditionalFormatting>
  <conditionalFormatting sqref="O1961">
    <cfRule type="expression" dxfId="2581" priority="7875" stopIfTrue="1">
      <formula>OR($O$1961="F/S",$O$1961="")</formula>
    </cfRule>
    <cfRule type="cellIs" dxfId="2580" priority="7876" stopIfTrue="1" operator="notEqual">
      <formula>0</formula>
    </cfRule>
  </conditionalFormatting>
  <conditionalFormatting sqref="L2013">
    <cfRule type="expression" dxfId="2579" priority="7881" stopIfTrue="1">
      <formula>OR($L$2013="F/S",$L$2013="")</formula>
    </cfRule>
    <cfRule type="cellIs" dxfId="2578" priority="7882" stopIfTrue="1" operator="notEqual">
      <formula>0</formula>
    </cfRule>
  </conditionalFormatting>
  <conditionalFormatting sqref="O2013">
    <cfRule type="expression" dxfId="2577" priority="7883" stopIfTrue="1">
      <formula>OR($O$2013="F/S",$O$2013="")</formula>
    </cfRule>
    <cfRule type="cellIs" dxfId="2576" priority="7884" stopIfTrue="1" operator="notEqual">
      <formula>0</formula>
    </cfRule>
  </conditionalFormatting>
  <conditionalFormatting sqref="L2032">
    <cfRule type="expression" dxfId="2575" priority="7885" stopIfTrue="1">
      <formula>OR($L$2032="F/S",$L$2032="")</formula>
    </cfRule>
    <cfRule type="cellIs" dxfId="2574" priority="7886" stopIfTrue="1" operator="notEqual">
      <formula>0</formula>
    </cfRule>
  </conditionalFormatting>
  <conditionalFormatting sqref="O2032">
    <cfRule type="expression" dxfId="2573" priority="7887" stopIfTrue="1">
      <formula>OR($O$2032="F/S",$O$2032="")</formula>
    </cfRule>
    <cfRule type="cellIs" dxfId="2572" priority="7888" stopIfTrue="1" operator="notEqual">
      <formula>0</formula>
    </cfRule>
  </conditionalFormatting>
  <conditionalFormatting sqref="L2048">
    <cfRule type="expression" dxfId="2571" priority="7889" stopIfTrue="1">
      <formula>OR($L$2048="F/S",$L$2048="")</formula>
    </cfRule>
    <cfRule type="cellIs" dxfId="2570" priority="7890" stopIfTrue="1" operator="notEqual">
      <formula>0</formula>
    </cfRule>
  </conditionalFormatting>
  <conditionalFormatting sqref="O2048">
    <cfRule type="expression" dxfId="2569" priority="7891" stopIfTrue="1">
      <formula>OR($O$2048="F/S",$O$2048="")</formula>
    </cfRule>
    <cfRule type="cellIs" dxfId="2568" priority="7892" stopIfTrue="1" operator="notEqual">
      <formula>0</formula>
    </cfRule>
  </conditionalFormatting>
  <conditionalFormatting sqref="L2063">
    <cfRule type="expression" dxfId="2567" priority="7893" stopIfTrue="1">
      <formula>OR($L$2063="F/S",$L$2063="")</formula>
    </cfRule>
    <cfRule type="cellIs" dxfId="2566" priority="7894" stopIfTrue="1" operator="notEqual">
      <formula>0</formula>
    </cfRule>
  </conditionalFormatting>
  <conditionalFormatting sqref="O2063">
    <cfRule type="expression" dxfId="2565" priority="7895" stopIfTrue="1">
      <formula>OR($O$2063="F/S",$O$2063="")</formula>
    </cfRule>
    <cfRule type="cellIs" dxfId="2564" priority="7896" stopIfTrue="1" operator="notEqual">
      <formula>0</formula>
    </cfRule>
  </conditionalFormatting>
  <conditionalFormatting sqref="L2137">
    <cfRule type="expression" dxfId="2563" priority="7909" stopIfTrue="1">
      <formula>OR($L$2137="F/S",$L$2137="")</formula>
    </cfRule>
    <cfRule type="cellIs" dxfId="2562" priority="7910" stopIfTrue="1" operator="notEqual">
      <formula>0</formula>
    </cfRule>
  </conditionalFormatting>
  <conditionalFormatting sqref="O2137">
    <cfRule type="expression" dxfId="2561" priority="7911" stopIfTrue="1">
      <formula>OR($O$2137="F/S",$O$2137="")</formula>
    </cfRule>
    <cfRule type="cellIs" dxfId="2560" priority="7912" stopIfTrue="1" operator="notEqual">
      <formula>0</formula>
    </cfRule>
  </conditionalFormatting>
  <conditionalFormatting sqref="L2079">
    <cfRule type="expression" dxfId="2559" priority="7913" stopIfTrue="1">
      <formula>OR($L$2079="F/S",$L$2079="")</formula>
    </cfRule>
    <cfRule type="cellIs" dxfId="2558" priority="7914" stopIfTrue="1" operator="notEqual">
      <formula>0</formula>
    </cfRule>
  </conditionalFormatting>
  <conditionalFormatting sqref="O2079">
    <cfRule type="expression" dxfId="2557" priority="7915" stopIfTrue="1">
      <formula>OR($O$2079="F/S",$O$2079="")</formula>
    </cfRule>
    <cfRule type="cellIs" dxfId="2556" priority="7916" stopIfTrue="1" operator="notEqual">
      <formula>0</formula>
    </cfRule>
  </conditionalFormatting>
  <conditionalFormatting sqref="L2092">
    <cfRule type="expression" dxfId="2555" priority="7917" stopIfTrue="1">
      <formula>OR($L$2092="F/S",$L$2092="")</formula>
    </cfRule>
    <cfRule type="cellIs" dxfId="2554" priority="7918" stopIfTrue="1" operator="notEqual">
      <formula>0</formula>
    </cfRule>
  </conditionalFormatting>
  <conditionalFormatting sqref="O2092">
    <cfRule type="expression" dxfId="2553" priority="7919" stopIfTrue="1">
      <formula>OR($O$2092="F/S",$O$2092="")</formula>
    </cfRule>
    <cfRule type="cellIs" dxfId="2552" priority="7920" stopIfTrue="1" operator="notEqual">
      <formula>0</formula>
    </cfRule>
  </conditionalFormatting>
  <conditionalFormatting sqref="L2105">
    <cfRule type="expression" dxfId="2551" priority="7921" stopIfTrue="1">
      <formula>OR($L$2105="F/S",$L$2105="")</formula>
    </cfRule>
    <cfRule type="cellIs" dxfId="2550" priority="7922" stopIfTrue="1" operator="notEqual">
      <formula>0</formula>
    </cfRule>
  </conditionalFormatting>
  <conditionalFormatting sqref="O2105">
    <cfRule type="expression" dxfId="2549" priority="7923" stopIfTrue="1">
      <formula>OR($O$2105="F/S",$O$2105="")</formula>
    </cfRule>
    <cfRule type="cellIs" dxfId="2548" priority="7924" stopIfTrue="1" operator="notEqual">
      <formula>0</formula>
    </cfRule>
  </conditionalFormatting>
  <conditionalFormatting sqref="L2118">
    <cfRule type="expression" dxfId="2547" priority="7925" stopIfTrue="1">
      <formula>OR($L$2118="F/S",$L$2118="")</formula>
    </cfRule>
    <cfRule type="cellIs" dxfId="2546" priority="7926" stopIfTrue="1" operator="notEqual">
      <formula>0</formula>
    </cfRule>
  </conditionalFormatting>
  <conditionalFormatting sqref="O2118">
    <cfRule type="expression" dxfId="2545" priority="7927" stopIfTrue="1">
      <formula>OR($O$2118="F/S",$O$2118="")</formula>
    </cfRule>
    <cfRule type="cellIs" dxfId="2544" priority="7928" stopIfTrue="1" operator="notEqual">
      <formula>0</formula>
    </cfRule>
  </conditionalFormatting>
  <conditionalFormatting sqref="L2157">
    <cfRule type="expression" dxfId="2543" priority="7929" stopIfTrue="1">
      <formula>OR($L$2157="F/S",$L$2157="")</formula>
    </cfRule>
    <cfRule type="cellIs" dxfId="2542" priority="7930" stopIfTrue="1" operator="notEqual">
      <formula>0</formula>
    </cfRule>
  </conditionalFormatting>
  <conditionalFormatting sqref="O2157">
    <cfRule type="expression" dxfId="2541" priority="7931" stopIfTrue="1">
      <formula>OR($O$2157="F/S",$O$2157="")</formula>
    </cfRule>
    <cfRule type="cellIs" dxfId="2540" priority="7932" stopIfTrue="1" operator="notEqual">
      <formula>0</formula>
    </cfRule>
  </conditionalFormatting>
  <conditionalFormatting sqref="L2171">
    <cfRule type="expression" dxfId="2539" priority="7933" stopIfTrue="1">
      <formula>OR($L$2171="F/S",$L$2171="")</formula>
    </cfRule>
    <cfRule type="cellIs" dxfId="2538" priority="7934" stopIfTrue="1" operator="notEqual">
      <formula>0</formula>
    </cfRule>
  </conditionalFormatting>
  <conditionalFormatting sqref="O2171">
    <cfRule type="expression" dxfId="2537" priority="7935" stopIfTrue="1">
      <formula>OR($O$2171="F/S",$O$2171="")</formula>
    </cfRule>
    <cfRule type="cellIs" dxfId="2536" priority="7936" stopIfTrue="1" operator="notEqual">
      <formula>0</formula>
    </cfRule>
  </conditionalFormatting>
  <conditionalFormatting sqref="L2181">
    <cfRule type="expression" dxfId="2535" priority="7937" stopIfTrue="1">
      <formula>OR($L$2181="F/S",$L$2181="")</formula>
    </cfRule>
    <cfRule type="cellIs" dxfId="2534" priority="7938" stopIfTrue="1" operator="notEqual">
      <formula>0</formula>
    </cfRule>
  </conditionalFormatting>
  <conditionalFormatting sqref="O2181">
    <cfRule type="expression" dxfId="2533" priority="7939" stopIfTrue="1">
      <formula>OR($O$2181="F/S",$O$2181="")</formula>
    </cfRule>
    <cfRule type="cellIs" dxfId="2532" priority="7940" stopIfTrue="1" operator="notEqual">
      <formula>0</formula>
    </cfRule>
  </conditionalFormatting>
  <conditionalFormatting sqref="L2202">
    <cfRule type="expression" dxfId="2531" priority="7941" stopIfTrue="1">
      <formula>OR($L$2202="F/S",$L$2202="")</formula>
    </cfRule>
    <cfRule type="cellIs" dxfId="2530" priority="7942" stopIfTrue="1" operator="notEqual">
      <formula>0</formula>
    </cfRule>
  </conditionalFormatting>
  <conditionalFormatting sqref="O2202">
    <cfRule type="expression" dxfId="2529" priority="7943" stopIfTrue="1">
      <formula>OR($O$2202="F/S",$O$2202="")</formula>
    </cfRule>
    <cfRule type="cellIs" dxfId="2528" priority="7944" stopIfTrue="1" operator="notEqual">
      <formula>0</formula>
    </cfRule>
  </conditionalFormatting>
  <conditionalFormatting sqref="L2234">
    <cfRule type="expression" dxfId="2527" priority="7945" stopIfTrue="1">
      <formula>OR($L$2234="F/S",$L$2234="")</formula>
    </cfRule>
    <cfRule type="cellIs" dxfId="2526" priority="7946" stopIfTrue="1" operator="notEqual">
      <formula>0</formula>
    </cfRule>
  </conditionalFormatting>
  <conditionalFormatting sqref="O2234">
    <cfRule type="expression" dxfId="2525" priority="7947" stopIfTrue="1">
      <formula>OR($O$2234="F/S",$O$2234="")</formula>
    </cfRule>
    <cfRule type="cellIs" dxfId="2524" priority="7948" stopIfTrue="1" operator="notEqual">
      <formula>0</formula>
    </cfRule>
  </conditionalFormatting>
  <conditionalFormatting sqref="L2247">
    <cfRule type="expression" dxfId="2523" priority="7949" stopIfTrue="1">
      <formula>OR($L$2247="F/S",$L$2247="")</formula>
    </cfRule>
    <cfRule type="cellIs" dxfId="2522" priority="7950" stopIfTrue="1" operator="notEqual">
      <formula>0</formula>
    </cfRule>
  </conditionalFormatting>
  <conditionalFormatting sqref="O2247">
    <cfRule type="expression" dxfId="2521" priority="7951" stopIfTrue="1">
      <formula>OR($O$2247="F/S",$O$2247="")</formula>
    </cfRule>
    <cfRule type="cellIs" dxfId="2520" priority="7952" stopIfTrue="1" operator="notEqual">
      <formula>0</formula>
    </cfRule>
  </conditionalFormatting>
  <conditionalFormatting sqref="L2260">
    <cfRule type="expression" dxfId="2519" priority="7953" stopIfTrue="1">
      <formula>OR($L$2260="F/S",$L$2260="")</formula>
    </cfRule>
    <cfRule type="cellIs" dxfId="2518" priority="7954" stopIfTrue="1" operator="notEqual">
      <formula>0</formula>
    </cfRule>
  </conditionalFormatting>
  <conditionalFormatting sqref="O2260">
    <cfRule type="expression" dxfId="2517" priority="7955" stopIfTrue="1">
      <formula>OR($O$2260="F/S",$O$2260="")</formula>
    </cfRule>
    <cfRule type="cellIs" dxfId="2516" priority="7956" stopIfTrue="1" operator="notEqual">
      <formula>0</formula>
    </cfRule>
  </conditionalFormatting>
  <conditionalFormatting sqref="L2315">
    <cfRule type="expression" dxfId="2515" priority="7961" stopIfTrue="1">
      <formula>OR($L$2315="F/S",$L$2315="")</formula>
    </cfRule>
    <cfRule type="cellIs" dxfId="2514" priority="7962" stopIfTrue="1" operator="notEqual">
      <formula>0</formula>
    </cfRule>
  </conditionalFormatting>
  <conditionalFormatting sqref="O2315">
    <cfRule type="expression" dxfId="2513" priority="7963" stopIfTrue="1">
      <formula>OR($O$2315="F/S",$O$2315="")</formula>
    </cfRule>
    <cfRule type="cellIs" dxfId="2512" priority="7964" stopIfTrue="1" operator="notEqual">
      <formula>0</formula>
    </cfRule>
  </conditionalFormatting>
  <conditionalFormatting sqref="L2273">
    <cfRule type="expression" dxfId="2511" priority="7973" stopIfTrue="1">
      <formula>OR($L$2273="F/S",$L$2273="")</formula>
    </cfRule>
    <cfRule type="cellIs" dxfId="2510" priority="7974" stopIfTrue="1" operator="notEqual">
      <formula>0</formula>
    </cfRule>
  </conditionalFormatting>
  <conditionalFormatting sqref="O2273">
    <cfRule type="expression" dxfId="2509" priority="7975" stopIfTrue="1">
      <formula>OR($O$2273="F/S",$O$2273="")</formula>
    </cfRule>
    <cfRule type="cellIs" dxfId="2508" priority="7976" stopIfTrue="1" operator="notEqual">
      <formula>0</formula>
    </cfRule>
  </conditionalFormatting>
  <conditionalFormatting sqref="L2293">
    <cfRule type="expression" dxfId="2507" priority="7977" stopIfTrue="1">
      <formula>OR($L$2293="F/S",$L$2293="")</formula>
    </cfRule>
    <cfRule type="cellIs" dxfId="2506" priority="7978" stopIfTrue="1" operator="notEqual">
      <formula>0</formula>
    </cfRule>
  </conditionalFormatting>
  <conditionalFormatting sqref="O2293">
    <cfRule type="expression" dxfId="2505" priority="7979" stopIfTrue="1">
      <formula>OR($O$2293="F/S",$O$2293="")</formula>
    </cfRule>
    <cfRule type="cellIs" dxfId="2504" priority="7980" stopIfTrue="1" operator="notEqual">
      <formula>0</formula>
    </cfRule>
  </conditionalFormatting>
  <conditionalFormatting sqref="L2349">
    <cfRule type="expression" dxfId="2503" priority="7981" stopIfTrue="1">
      <formula>OR($L$2349="F/S",$L$2349="")</formula>
    </cfRule>
    <cfRule type="cellIs" dxfId="2502" priority="7982" stopIfTrue="1" operator="notEqual">
      <formula>0</formula>
    </cfRule>
  </conditionalFormatting>
  <conditionalFormatting sqref="O2349">
    <cfRule type="expression" dxfId="2501" priority="7983" stopIfTrue="1">
      <formula>OR($O$2349="F/S",$O$2349="")</formula>
    </cfRule>
    <cfRule type="cellIs" dxfId="2500" priority="7984" stopIfTrue="1" operator="notEqual">
      <formula>0</formula>
    </cfRule>
  </conditionalFormatting>
  <conditionalFormatting sqref="L2330">
    <cfRule type="expression" dxfId="2499" priority="7985" stopIfTrue="1">
      <formula>OR($L$2330="F/S",$L$2330="")</formula>
    </cfRule>
    <cfRule type="cellIs" dxfId="2498" priority="7986" stopIfTrue="1" operator="notEqual">
      <formula>0</formula>
    </cfRule>
  </conditionalFormatting>
  <conditionalFormatting sqref="O2330">
    <cfRule type="expression" dxfId="2497" priority="7987" stopIfTrue="1">
      <formula>OR($O$2330="F/S",$O$2330="")</formula>
    </cfRule>
    <cfRule type="cellIs" dxfId="2496" priority="7988" stopIfTrue="1" operator="notEqual">
      <formula>0</formula>
    </cfRule>
  </conditionalFormatting>
  <conditionalFormatting sqref="L2378">
    <cfRule type="expression" dxfId="2495" priority="7993" stopIfTrue="1">
      <formula>OR($L$2378="F/S",$L$2378="")</formula>
    </cfRule>
    <cfRule type="cellIs" dxfId="2494" priority="7994" stopIfTrue="1" operator="notEqual">
      <formula>0</formula>
    </cfRule>
  </conditionalFormatting>
  <conditionalFormatting sqref="O2378">
    <cfRule type="expression" dxfId="2493" priority="7995" stopIfTrue="1">
      <formula>OR($O$2378="F/S",$O$2378="")</formula>
    </cfRule>
    <cfRule type="cellIs" dxfId="2492" priority="7996" stopIfTrue="1" operator="notEqual">
      <formula>0</formula>
    </cfRule>
  </conditionalFormatting>
  <conditionalFormatting sqref="L2391">
    <cfRule type="expression" dxfId="2491" priority="8001" stopIfTrue="1">
      <formula>OR($L$2391="F/S",$L$2391="")</formula>
    </cfRule>
    <cfRule type="cellIs" dxfId="2490" priority="8002" stopIfTrue="1" operator="notEqual">
      <formula>0</formula>
    </cfRule>
  </conditionalFormatting>
  <conditionalFormatting sqref="O2391">
    <cfRule type="expression" dxfId="2489" priority="8003" stopIfTrue="1">
      <formula>OR($O$2391="F/S",$O$2391="")</formula>
    </cfRule>
    <cfRule type="cellIs" dxfId="2488" priority="8004" stopIfTrue="1" operator="notEqual">
      <formula>0</formula>
    </cfRule>
  </conditionalFormatting>
  <conditionalFormatting sqref="L2368">
    <cfRule type="expression" dxfId="2487" priority="8005" stopIfTrue="1">
      <formula>OR($L$2368="F/S",$L$2368="")</formula>
    </cfRule>
    <cfRule type="cellIs" dxfId="2486" priority="8006" stopIfTrue="1" operator="notEqual">
      <formula>0</formula>
    </cfRule>
  </conditionalFormatting>
  <conditionalFormatting sqref="O2368">
    <cfRule type="expression" dxfId="2485" priority="8007" stopIfTrue="1">
      <formula>OR($O$2368="F/S",$O$2368="")</formula>
    </cfRule>
    <cfRule type="cellIs" dxfId="2484" priority="8008" stopIfTrue="1" operator="notEqual">
      <formula>0</formula>
    </cfRule>
  </conditionalFormatting>
  <conditionalFormatting sqref="L2401">
    <cfRule type="expression" dxfId="2483" priority="8009" stopIfTrue="1">
      <formula>OR($L$2401="F/S",$L$2401="")</formula>
    </cfRule>
    <cfRule type="cellIs" dxfId="2482" priority="8010" stopIfTrue="1" operator="notEqual">
      <formula>0</formula>
    </cfRule>
  </conditionalFormatting>
  <conditionalFormatting sqref="O2401">
    <cfRule type="expression" dxfId="2481" priority="8011" stopIfTrue="1">
      <formula>OR($O$2401="F/S",$O$2401="")</formula>
    </cfRule>
    <cfRule type="cellIs" dxfId="2480" priority="8012" stopIfTrue="1" operator="notEqual">
      <formula>0</formula>
    </cfRule>
  </conditionalFormatting>
  <conditionalFormatting sqref="L2463">
    <cfRule type="expression" dxfId="2479" priority="8013" stopIfTrue="1">
      <formula>OR($L$2463="F/S",$L$2463="")</formula>
    </cfRule>
    <cfRule type="cellIs" dxfId="2478" priority="8014" stopIfTrue="1" operator="notEqual">
      <formula>0</formula>
    </cfRule>
  </conditionalFormatting>
  <conditionalFormatting sqref="O2463">
    <cfRule type="expression" dxfId="2477" priority="8015" stopIfTrue="1">
      <formula>OR($O$2463="F/S",$O$2463="")</formula>
    </cfRule>
    <cfRule type="cellIs" dxfId="2476" priority="8016" stopIfTrue="1" operator="notEqual">
      <formula>0</formula>
    </cfRule>
  </conditionalFormatting>
  <conditionalFormatting sqref="L2497">
    <cfRule type="expression" dxfId="2475" priority="8021" stopIfTrue="1">
      <formula>OR($L$2497="F/S",$L$2497="")</formula>
    </cfRule>
    <cfRule type="cellIs" dxfId="2474" priority="8022" stopIfTrue="1" operator="notEqual">
      <formula>0</formula>
    </cfRule>
  </conditionalFormatting>
  <conditionalFormatting sqref="O2497">
    <cfRule type="expression" dxfId="2473" priority="8023" stopIfTrue="1">
      <formula>OR($O$2497="F/S",$O$2497="")</formula>
    </cfRule>
    <cfRule type="cellIs" dxfId="2472" priority="8024" stopIfTrue="1" operator="notEqual">
      <formula>0</formula>
    </cfRule>
  </conditionalFormatting>
  <conditionalFormatting sqref="L2506">
    <cfRule type="expression" dxfId="2471" priority="8025" stopIfTrue="1">
      <formula>OR($L$2506="F/S",$L$2506="")</formula>
    </cfRule>
    <cfRule type="cellIs" dxfId="2470" priority="8026" stopIfTrue="1" operator="notEqual">
      <formula>0</formula>
    </cfRule>
  </conditionalFormatting>
  <conditionalFormatting sqref="O2506">
    <cfRule type="expression" dxfId="2469" priority="8027" stopIfTrue="1">
      <formula>OR($O$2506="F/S",$O$2506="")</formula>
    </cfRule>
    <cfRule type="cellIs" dxfId="2468" priority="8028" stopIfTrue="1" operator="notEqual">
      <formula>0</formula>
    </cfRule>
  </conditionalFormatting>
  <conditionalFormatting sqref="L2520">
    <cfRule type="expression" dxfId="2467" priority="8029" stopIfTrue="1">
      <formula>OR($L$2520="F/S",$L$2520="")</formula>
    </cfRule>
    <cfRule type="cellIs" dxfId="2466" priority="8030" stopIfTrue="1" operator="notEqual">
      <formula>0</formula>
    </cfRule>
  </conditionalFormatting>
  <conditionalFormatting sqref="O2520">
    <cfRule type="expression" dxfId="2465" priority="8031" stopIfTrue="1">
      <formula>OR($O$2520="F/S",$O$2520="")</formula>
    </cfRule>
    <cfRule type="cellIs" dxfId="2464" priority="8032" stopIfTrue="1" operator="notEqual">
      <formula>0</formula>
    </cfRule>
  </conditionalFormatting>
  <conditionalFormatting sqref="L2557">
    <cfRule type="expression" dxfId="2463" priority="8065" stopIfTrue="1">
      <formula>OR($L$2557="F/S",$L$2557="")</formula>
    </cfRule>
    <cfRule type="cellIs" dxfId="2462" priority="8066" stopIfTrue="1" operator="notEqual">
      <formula>0</formula>
    </cfRule>
  </conditionalFormatting>
  <conditionalFormatting sqref="O2557">
    <cfRule type="expression" dxfId="2461" priority="8067" stopIfTrue="1">
      <formula>OR($O$2557="F/S",$O$2557="")</formula>
    </cfRule>
    <cfRule type="cellIs" dxfId="2460" priority="8068" stopIfTrue="1" operator="notEqual">
      <formula>0</formula>
    </cfRule>
  </conditionalFormatting>
  <conditionalFormatting sqref="L2599">
    <cfRule type="expression" dxfId="2459" priority="8069" stopIfTrue="1">
      <formula>OR($L$2599="F/S",$L$2599="")</formula>
    </cfRule>
    <cfRule type="cellIs" dxfId="2458" priority="8070" stopIfTrue="1" operator="notEqual">
      <formula>0</formula>
    </cfRule>
  </conditionalFormatting>
  <conditionalFormatting sqref="O2599">
    <cfRule type="expression" dxfId="2457" priority="8071" stopIfTrue="1">
      <formula>OR($O$2599="F/S",$O$2599="")</formula>
    </cfRule>
    <cfRule type="cellIs" dxfId="2456" priority="8072" stopIfTrue="1" operator="notEqual">
      <formula>0</formula>
    </cfRule>
  </conditionalFormatting>
  <conditionalFormatting sqref="L2618">
    <cfRule type="expression" dxfId="2455" priority="8073" stopIfTrue="1">
      <formula>OR($L$2618="F/S",$L$2618="")</formula>
    </cfRule>
    <cfRule type="cellIs" dxfId="2454" priority="8074" stopIfTrue="1" operator="notEqual">
      <formula>0</formula>
    </cfRule>
  </conditionalFormatting>
  <conditionalFormatting sqref="O2618">
    <cfRule type="expression" dxfId="2453" priority="8075" stopIfTrue="1">
      <formula>OR($O$2618="F/S",$O$2618="")</formula>
    </cfRule>
    <cfRule type="cellIs" dxfId="2452" priority="8076" stopIfTrue="1" operator="notEqual">
      <formula>0</formula>
    </cfRule>
  </conditionalFormatting>
  <conditionalFormatting sqref="L2628">
    <cfRule type="expression" dxfId="2451" priority="8093" stopIfTrue="1">
      <formula>OR($L$2628="F/S",$L$2628="")</formula>
    </cfRule>
    <cfRule type="cellIs" dxfId="2450" priority="8094" stopIfTrue="1" operator="notEqual">
      <formula>0</formula>
    </cfRule>
  </conditionalFormatting>
  <conditionalFormatting sqref="O2628">
    <cfRule type="expression" dxfId="2449" priority="8095" stopIfTrue="1">
      <formula>OR($O$2628="F/S",$O$2628="")</formula>
    </cfRule>
    <cfRule type="cellIs" dxfId="2448" priority="8096" stopIfTrue="1" operator="notEqual">
      <formula>0</formula>
    </cfRule>
  </conditionalFormatting>
  <conditionalFormatting sqref="L2639">
    <cfRule type="expression" dxfId="2447" priority="8101" stopIfTrue="1">
      <formula>OR($L$2639="F/S",$L$2639="")</formula>
    </cfRule>
    <cfRule type="cellIs" dxfId="2446" priority="8102" stopIfTrue="1" operator="notEqual">
      <formula>0</formula>
    </cfRule>
  </conditionalFormatting>
  <conditionalFormatting sqref="O2639">
    <cfRule type="expression" dxfId="2445" priority="8103" stopIfTrue="1">
      <formula>OR($O$2639="F/S",$O$2639="")</formula>
    </cfRule>
    <cfRule type="cellIs" dxfId="2444" priority="8104" stopIfTrue="1" operator="notEqual">
      <formula>0</formula>
    </cfRule>
  </conditionalFormatting>
  <conditionalFormatting sqref="L2648">
    <cfRule type="expression" dxfId="2443" priority="8105" stopIfTrue="1">
      <formula>OR($L$2648="F/S",$L$2648="")</formula>
    </cfRule>
    <cfRule type="cellIs" dxfId="2442" priority="8106" stopIfTrue="1" operator="notEqual">
      <formula>0</formula>
    </cfRule>
  </conditionalFormatting>
  <conditionalFormatting sqref="O2648">
    <cfRule type="expression" dxfId="2441" priority="8107" stopIfTrue="1">
      <formula>OR($O$2648="F/S",$O$2648="")</formula>
    </cfRule>
    <cfRule type="cellIs" dxfId="2440" priority="8108" stopIfTrue="1" operator="notEqual">
      <formula>0</formula>
    </cfRule>
  </conditionalFormatting>
  <conditionalFormatting sqref="L2705">
    <cfRule type="expression" dxfId="2439" priority="8113" stopIfTrue="1">
      <formula>OR($L$2705="F/S",$L$2705="")</formula>
    </cfRule>
    <cfRule type="cellIs" dxfId="2438" priority="8114" stopIfTrue="1" operator="notEqual">
      <formula>0</formula>
    </cfRule>
  </conditionalFormatting>
  <conditionalFormatting sqref="O2705">
    <cfRule type="expression" dxfId="2437" priority="8115" stopIfTrue="1">
      <formula>OR($O$2705="F/S",$O$2705="")</formula>
    </cfRule>
    <cfRule type="cellIs" dxfId="2436" priority="8116" stopIfTrue="1" operator="notEqual">
      <formula>0</formula>
    </cfRule>
  </conditionalFormatting>
  <conditionalFormatting sqref="L2719">
    <cfRule type="expression" dxfId="2435" priority="8117" stopIfTrue="1">
      <formula>OR($L$2719="F/S",$L$2719="")</formula>
    </cfRule>
    <cfRule type="cellIs" dxfId="2434" priority="8118" stopIfTrue="1" operator="notEqual">
      <formula>0</formula>
    </cfRule>
  </conditionalFormatting>
  <conditionalFormatting sqref="O2719">
    <cfRule type="expression" dxfId="2433" priority="8119" stopIfTrue="1">
      <formula>OR($O$2719="F/S",$O$2719="")</formula>
    </cfRule>
    <cfRule type="cellIs" dxfId="2432" priority="8120" stopIfTrue="1" operator="notEqual">
      <formula>0</formula>
    </cfRule>
  </conditionalFormatting>
  <conditionalFormatting sqref="L2733">
    <cfRule type="expression" dxfId="2431" priority="8121" stopIfTrue="1">
      <formula>OR($L$2733="F/S",$L$2733="")</formula>
    </cfRule>
    <cfRule type="cellIs" dxfId="2430" priority="8122" stopIfTrue="1" operator="notEqual">
      <formula>0</formula>
    </cfRule>
  </conditionalFormatting>
  <conditionalFormatting sqref="O2733">
    <cfRule type="expression" dxfId="2429" priority="8123" stopIfTrue="1">
      <formula>OR($O$2733="F/S",$O$2733="")</formula>
    </cfRule>
    <cfRule type="cellIs" dxfId="2428" priority="8124" stopIfTrue="1" operator="notEqual">
      <formula>0</formula>
    </cfRule>
  </conditionalFormatting>
  <conditionalFormatting sqref="L2748">
    <cfRule type="expression" dxfId="2427" priority="8125" stopIfTrue="1">
      <formula>OR($L$2748="F/S",$L$2748="")</formula>
    </cfRule>
    <cfRule type="cellIs" dxfId="2426" priority="8126" stopIfTrue="1" operator="notEqual">
      <formula>0</formula>
    </cfRule>
  </conditionalFormatting>
  <conditionalFormatting sqref="O2748">
    <cfRule type="expression" dxfId="2425" priority="8127" stopIfTrue="1">
      <formula>OR($O$2748="F/S",$O$2748="")</formula>
    </cfRule>
    <cfRule type="cellIs" dxfId="2424" priority="8128" stopIfTrue="1" operator="notEqual">
      <formula>0</formula>
    </cfRule>
  </conditionalFormatting>
  <conditionalFormatting sqref="L2761">
    <cfRule type="expression" dxfId="2423" priority="8129" stopIfTrue="1">
      <formula>OR($L$2761="F/S",$L$2761="")</formula>
    </cfRule>
    <cfRule type="cellIs" dxfId="2422" priority="8130" stopIfTrue="1" operator="notEqual">
      <formula>0</formula>
    </cfRule>
  </conditionalFormatting>
  <conditionalFormatting sqref="O2761">
    <cfRule type="expression" dxfId="2421" priority="8131" stopIfTrue="1">
      <formula>OR($O$2761="F/S",$O$2761="")</formula>
    </cfRule>
    <cfRule type="cellIs" dxfId="2420" priority="8132" stopIfTrue="1" operator="notEqual">
      <formula>0</formula>
    </cfRule>
  </conditionalFormatting>
  <conditionalFormatting sqref="L2771">
    <cfRule type="expression" dxfId="2419" priority="8149" stopIfTrue="1">
      <formula>OR($L$2771="F/S",$L$2771="")</formula>
    </cfRule>
    <cfRule type="cellIs" dxfId="2418" priority="8150" stopIfTrue="1" operator="notEqual">
      <formula>0</formula>
    </cfRule>
  </conditionalFormatting>
  <conditionalFormatting sqref="O2771">
    <cfRule type="expression" dxfId="2417" priority="8151" stopIfTrue="1">
      <formula>OR($O$2771="F/S",$O$2771="")</formula>
    </cfRule>
    <cfRule type="cellIs" dxfId="2416" priority="8152" stopIfTrue="1" operator="notEqual">
      <formula>0</formula>
    </cfRule>
  </conditionalFormatting>
  <conditionalFormatting sqref="L2781">
    <cfRule type="expression" dxfId="2415" priority="8157" stopIfTrue="1">
      <formula>OR($L$2781="F/S",$L$2781="")</formula>
    </cfRule>
    <cfRule type="cellIs" dxfId="2414" priority="8158" stopIfTrue="1" operator="notEqual">
      <formula>0</formula>
    </cfRule>
  </conditionalFormatting>
  <conditionalFormatting sqref="O2781">
    <cfRule type="expression" dxfId="2413" priority="8159" stopIfTrue="1">
      <formula>OR($O$2781="F/S",$O$2781="")</formula>
    </cfRule>
    <cfRule type="cellIs" dxfId="2412" priority="8160" stopIfTrue="1" operator="notEqual">
      <formula>0</formula>
    </cfRule>
  </conditionalFormatting>
  <conditionalFormatting sqref="L2797">
    <cfRule type="expression" dxfId="2411" priority="8161" stopIfTrue="1">
      <formula>OR($L$2797="F/S",$L$2797="")</formula>
    </cfRule>
    <cfRule type="cellIs" dxfId="2410" priority="8162" stopIfTrue="1" operator="notEqual">
      <formula>0</formula>
    </cfRule>
  </conditionalFormatting>
  <conditionalFormatting sqref="O2797">
    <cfRule type="expression" dxfId="2409" priority="8163" stopIfTrue="1">
      <formula>OR($O$2797="F/S",$O$2797="")</formula>
    </cfRule>
    <cfRule type="cellIs" dxfId="2408" priority="8164" stopIfTrue="1" operator="notEqual">
      <formula>0</formula>
    </cfRule>
  </conditionalFormatting>
  <conditionalFormatting sqref="L2810">
    <cfRule type="expression" dxfId="2407" priority="8165" stopIfTrue="1">
      <formula>OR($L$2810="F/S",$L$2810="")</formula>
    </cfRule>
    <cfRule type="cellIs" dxfId="2406" priority="8166" stopIfTrue="1" operator="notEqual">
      <formula>0</formula>
    </cfRule>
  </conditionalFormatting>
  <conditionalFormatting sqref="O2810">
    <cfRule type="expression" dxfId="2405" priority="8167" stopIfTrue="1">
      <formula>OR($O$2810="F/S",$O$2810="")</formula>
    </cfRule>
    <cfRule type="cellIs" dxfId="2404" priority="8168" stopIfTrue="1" operator="notEqual">
      <formula>0</formula>
    </cfRule>
  </conditionalFormatting>
  <conditionalFormatting sqref="L2821">
    <cfRule type="expression" dxfId="2403" priority="8169" stopIfTrue="1">
      <formula>OR($L$2821="F/S",$L$2821="")</formula>
    </cfRule>
    <cfRule type="cellIs" dxfId="2402" priority="8170" stopIfTrue="1" operator="notEqual">
      <formula>0</formula>
    </cfRule>
  </conditionalFormatting>
  <conditionalFormatting sqref="O2821">
    <cfRule type="expression" dxfId="2401" priority="8171" stopIfTrue="1">
      <formula>OR($O$2821="F/S",$O$2821="")</formula>
    </cfRule>
    <cfRule type="cellIs" dxfId="2400" priority="8172" stopIfTrue="1" operator="notEqual">
      <formula>0</formula>
    </cfRule>
  </conditionalFormatting>
  <conditionalFormatting sqref="L2830">
    <cfRule type="expression" dxfId="2399" priority="8173" stopIfTrue="1">
      <formula>OR($L$2830="F/S",$L$2830="")</formula>
    </cfRule>
    <cfRule type="cellIs" dxfId="2398" priority="8174" stopIfTrue="1" operator="notEqual">
      <formula>0</formula>
    </cfRule>
  </conditionalFormatting>
  <conditionalFormatting sqref="O2830">
    <cfRule type="expression" dxfId="2397" priority="8175" stopIfTrue="1">
      <formula>OR($O$2830="F/S",$O$2830="")</formula>
    </cfRule>
    <cfRule type="cellIs" dxfId="2396" priority="8176" stopIfTrue="1" operator="notEqual">
      <formula>0</formula>
    </cfRule>
  </conditionalFormatting>
  <conditionalFormatting sqref="L2877">
    <cfRule type="expression" dxfId="2395" priority="8185" stopIfTrue="1">
      <formula>OR($L$2877="F/S",$L$2877="")</formula>
    </cfRule>
    <cfRule type="cellIs" dxfId="2394" priority="8186" stopIfTrue="1" operator="notEqual">
      <formula>0</formula>
    </cfRule>
  </conditionalFormatting>
  <conditionalFormatting sqref="O2877">
    <cfRule type="expression" dxfId="2393" priority="8187" stopIfTrue="1">
      <formula>OR($O$2877="F/S",$O$2877="")</formula>
    </cfRule>
    <cfRule type="cellIs" dxfId="2392" priority="8188" stopIfTrue="1" operator="notEqual">
      <formula>0</formula>
    </cfRule>
  </conditionalFormatting>
  <conditionalFormatting sqref="L2847">
    <cfRule type="expression" dxfId="2391" priority="8189" stopIfTrue="1">
      <formula>OR($L$2847="F/S",$L$2847="")</formula>
    </cfRule>
    <cfRule type="cellIs" dxfId="2390" priority="8190" stopIfTrue="1" operator="notEqual">
      <formula>0</formula>
    </cfRule>
  </conditionalFormatting>
  <conditionalFormatting sqref="O2847">
    <cfRule type="expression" dxfId="2389" priority="8191" stopIfTrue="1">
      <formula>OR($O$2847="F/S",$O$2847="")</formula>
    </cfRule>
    <cfRule type="cellIs" dxfId="2388" priority="8192" stopIfTrue="1" operator="notEqual">
      <formula>0</formula>
    </cfRule>
  </conditionalFormatting>
  <conditionalFormatting sqref="L2862">
    <cfRule type="expression" dxfId="2387" priority="8193" stopIfTrue="1">
      <formula>OR($L$2862="F/S",$L$2862="")</formula>
    </cfRule>
    <cfRule type="cellIs" dxfId="2386" priority="8194" stopIfTrue="1" operator="notEqual">
      <formula>0</formula>
    </cfRule>
  </conditionalFormatting>
  <conditionalFormatting sqref="O2862">
    <cfRule type="expression" dxfId="2385" priority="8195" stopIfTrue="1">
      <formula>OR($O$2862="F/S",$O$2862="")</formula>
    </cfRule>
    <cfRule type="cellIs" dxfId="2384" priority="8196" stopIfTrue="1" operator="notEqual">
      <formula>0</formula>
    </cfRule>
  </conditionalFormatting>
  <conditionalFormatting sqref="L2897">
    <cfRule type="expression" dxfId="2383" priority="8197" stopIfTrue="1">
      <formula>OR($L$2897="F/S",$L$2897="")</formula>
    </cfRule>
    <cfRule type="cellIs" dxfId="2382" priority="8198" stopIfTrue="1" operator="notEqual">
      <formula>0</formula>
    </cfRule>
  </conditionalFormatting>
  <conditionalFormatting sqref="O2897">
    <cfRule type="expression" dxfId="2381" priority="8199" stopIfTrue="1">
      <formula>OR($O$2897="F/S",$O$2897="")</formula>
    </cfRule>
    <cfRule type="cellIs" dxfId="2380" priority="8200" stopIfTrue="1" operator="notEqual">
      <formula>0</formula>
    </cfRule>
  </conditionalFormatting>
  <conditionalFormatting sqref="L2908">
    <cfRule type="expression" dxfId="2379" priority="8205" stopIfTrue="1">
      <formula>OR($L$2908="F/S",$L$2908="")</formula>
    </cfRule>
    <cfRule type="cellIs" dxfId="2378" priority="8206" stopIfTrue="1" operator="notEqual">
      <formula>0</formula>
    </cfRule>
  </conditionalFormatting>
  <conditionalFormatting sqref="O2908">
    <cfRule type="expression" dxfId="2377" priority="8207" stopIfTrue="1">
      <formula>OR($O$2908="F/S",$O$2908="")</formula>
    </cfRule>
    <cfRule type="cellIs" dxfId="2376" priority="8208" stopIfTrue="1" operator="notEqual">
      <formula>0</formula>
    </cfRule>
  </conditionalFormatting>
  <conditionalFormatting sqref="L2920">
    <cfRule type="expression" dxfId="2375" priority="8209" stopIfTrue="1">
      <formula>OR($L$2920="F/S",$L$2920="")</formula>
    </cfRule>
    <cfRule type="cellIs" dxfId="2374" priority="8210" stopIfTrue="1" operator="notEqual">
      <formula>0</formula>
    </cfRule>
  </conditionalFormatting>
  <conditionalFormatting sqref="O2920">
    <cfRule type="expression" dxfId="2373" priority="8211" stopIfTrue="1">
      <formula>OR($O$2920="F/S",$O$2920="")</formula>
    </cfRule>
    <cfRule type="cellIs" dxfId="2372" priority="8212" stopIfTrue="1" operator="notEqual">
      <formula>0</formula>
    </cfRule>
  </conditionalFormatting>
  <conditionalFormatting sqref="L2982">
    <cfRule type="expression" dxfId="2371" priority="8225" stopIfTrue="1">
      <formula>OR($L$2982="F/S",$L$2982="")</formula>
    </cfRule>
    <cfRule type="cellIs" dxfId="2370" priority="8226" stopIfTrue="1" operator="notEqual">
      <formula>0</formula>
    </cfRule>
  </conditionalFormatting>
  <conditionalFormatting sqref="O2982">
    <cfRule type="expression" dxfId="2369" priority="8227" stopIfTrue="1">
      <formula>OR($O$2982="F/S",$O$2982="")</formula>
    </cfRule>
    <cfRule type="cellIs" dxfId="2368" priority="8228" stopIfTrue="1" operator="notEqual">
      <formula>0</formula>
    </cfRule>
  </conditionalFormatting>
  <conditionalFormatting sqref="L3006">
    <cfRule type="expression" dxfId="2367" priority="8233" stopIfTrue="1">
      <formula>OR($L$3006="F/S",$L$3006="")</formula>
    </cfRule>
    <cfRule type="cellIs" dxfId="2366" priority="8234" stopIfTrue="1" operator="notEqual">
      <formula>0</formula>
    </cfRule>
  </conditionalFormatting>
  <conditionalFormatting sqref="O3006">
    <cfRule type="expression" dxfId="2365" priority="8235" stopIfTrue="1">
      <formula>OR($O$3006="F/S",$O$3006="")</formula>
    </cfRule>
    <cfRule type="cellIs" dxfId="2364" priority="8236" stopIfTrue="1" operator="notEqual">
      <formula>0</formula>
    </cfRule>
  </conditionalFormatting>
  <conditionalFormatting sqref="L3043">
    <cfRule type="expression" dxfId="2363" priority="8241" stopIfTrue="1">
      <formula>OR($L$3043="F/S",$L$3043="")</formula>
    </cfRule>
    <cfRule type="cellIs" dxfId="2362" priority="8242" stopIfTrue="1" operator="notEqual">
      <formula>0</formula>
    </cfRule>
  </conditionalFormatting>
  <conditionalFormatting sqref="O3043">
    <cfRule type="expression" dxfId="2361" priority="8243" stopIfTrue="1">
      <formula>OR($O$3043="F/S",$O$3043="")</formula>
    </cfRule>
    <cfRule type="cellIs" dxfId="2360" priority="8244" stopIfTrue="1" operator="notEqual">
      <formula>0</formula>
    </cfRule>
  </conditionalFormatting>
  <conditionalFormatting sqref="L3113">
    <cfRule type="expression" dxfId="2359" priority="8257" stopIfTrue="1">
      <formula>OR($L$3113="F/S",$L$3113="")</formula>
    </cfRule>
    <cfRule type="cellIs" dxfId="2358" priority="8258" stopIfTrue="1" operator="notEqual">
      <formula>0</formula>
    </cfRule>
  </conditionalFormatting>
  <conditionalFormatting sqref="O3113">
    <cfRule type="expression" dxfId="2357" priority="8259" stopIfTrue="1">
      <formula>OR($O$3113="F/S",$O$3113="")</formula>
    </cfRule>
    <cfRule type="cellIs" dxfId="2356" priority="8260" stopIfTrue="1" operator="notEqual">
      <formula>0</formula>
    </cfRule>
  </conditionalFormatting>
  <conditionalFormatting sqref="L3126">
    <cfRule type="expression" dxfId="2355" priority="8261" stopIfTrue="1">
      <formula>OR($L$3126="F/S",$L$3126="")</formula>
    </cfRule>
    <cfRule type="cellIs" dxfId="2354" priority="8262" stopIfTrue="1" operator="notEqual">
      <formula>0</formula>
    </cfRule>
  </conditionalFormatting>
  <conditionalFormatting sqref="O3126">
    <cfRule type="expression" dxfId="2353" priority="8263" stopIfTrue="1">
      <formula>OR($O$3126="F/S",$O$3126="")</formula>
    </cfRule>
    <cfRule type="cellIs" dxfId="2352" priority="8264" stopIfTrue="1" operator="notEqual">
      <formula>0</formula>
    </cfRule>
  </conditionalFormatting>
  <conditionalFormatting sqref="L3162">
    <cfRule type="expression" dxfId="2351" priority="8265" stopIfTrue="1">
      <formula>OR($L$3162="F/S",$L$3162="")</formula>
    </cfRule>
    <cfRule type="cellIs" dxfId="2350" priority="8266" stopIfTrue="1" operator="notEqual">
      <formula>0</formula>
    </cfRule>
  </conditionalFormatting>
  <conditionalFormatting sqref="O3162">
    <cfRule type="expression" dxfId="2349" priority="8267" stopIfTrue="1">
      <formula>OR($O$3162="F/S",$O$3162="")</formula>
    </cfRule>
    <cfRule type="cellIs" dxfId="2348" priority="8268" stopIfTrue="1" operator="notEqual">
      <formula>0</formula>
    </cfRule>
  </conditionalFormatting>
  <conditionalFormatting sqref="L3175">
    <cfRule type="expression" dxfId="2347" priority="8277" stopIfTrue="1">
      <formula>OR($L$3175="F/S",$L$3175="")</formula>
    </cfRule>
    <cfRule type="cellIs" dxfId="2346" priority="8278" stopIfTrue="1" operator="notEqual">
      <formula>0</formula>
    </cfRule>
  </conditionalFormatting>
  <conditionalFormatting sqref="O3175">
    <cfRule type="expression" dxfId="2345" priority="8279" stopIfTrue="1">
      <formula>OR($O$3175="F/S",$O$3175="")</formula>
    </cfRule>
    <cfRule type="cellIs" dxfId="2344" priority="8280" stopIfTrue="1" operator="notEqual">
      <formula>0</formula>
    </cfRule>
  </conditionalFormatting>
  <conditionalFormatting sqref="L3188">
    <cfRule type="expression" dxfId="2343" priority="8281" stopIfTrue="1">
      <formula>OR($L$3188="F/S",$L$3188="")</formula>
    </cfRule>
    <cfRule type="cellIs" dxfId="2342" priority="8282" stopIfTrue="1" operator="notEqual">
      <formula>0</formula>
    </cfRule>
  </conditionalFormatting>
  <conditionalFormatting sqref="O3188">
    <cfRule type="expression" dxfId="2341" priority="8283" stopIfTrue="1">
      <formula>OR($O$3188="F/S",$O$3188="")</formula>
    </cfRule>
    <cfRule type="cellIs" dxfId="2340" priority="8284" stopIfTrue="1" operator="notEqual">
      <formula>0</formula>
    </cfRule>
  </conditionalFormatting>
  <conditionalFormatting sqref="L3200">
    <cfRule type="expression" dxfId="2339" priority="8285" stopIfTrue="1">
      <formula>OR($L$3200="F/S",$L$3200="")</formula>
    </cfRule>
    <cfRule type="cellIs" dxfId="2338" priority="8286" stopIfTrue="1" operator="notEqual">
      <formula>0</formula>
    </cfRule>
  </conditionalFormatting>
  <conditionalFormatting sqref="O3200">
    <cfRule type="expression" dxfId="2337" priority="8287" stopIfTrue="1">
      <formula>OR($O$3200="F/S",$O$3200="")</formula>
    </cfRule>
    <cfRule type="cellIs" dxfId="2336" priority="8288" stopIfTrue="1" operator="notEqual">
      <formula>0</formula>
    </cfRule>
  </conditionalFormatting>
  <conditionalFormatting sqref="L3213">
    <cfRule type="expression" dxfId="2335" priority="8289" stopIfTrue="1">
      <formula>OR($L$3213="F/S",$L$3213="")</formula>
    </cfRule>
    <cfRule type="cellIs" dxfId="2334" priority="8290" stopIfTrue="1" operator="notEqual">
      <formula>0</formula>
    </cfRule>
  </conditionalFormatting>
  <conditionalFormatting sqref="O3213">
    <cfRule type="expression" dxfId="2333" priority="8291" stopIfTrue="1">
      <formula>OR($O$3213="F/S",$O$3213="")</formula>
    </cfRule>
    <cfRule type="cellIs" dxfId="2332" priority="8292" stopIfTrue="1" operator="notEqual">
      <formula>0</formula>
    </cfRule>
  </conditionalFormatting>
  <conditionalFormatting sqref="L3225">
    <cfRule type="expression" dxfId="2331" priority="8293" stopIfTrue="1">
      <formula>OR($L$3225="F/S",$L$3225="")</formula>
    </cfRule>
    <cfRule type="cellIs" dxfId="2330" priority="8294" stopIfTrue="1" operator="notEqual">
      <formula>0</formula>
    </cfRule>
  </conditionalFormatting>
  <conditionalFormatting sqref="O3225">
    <cfRule type="expression" dxfId="2329" priority="8295" stopIfTrue="1">
      <formula>OR($O$3225="F/S",$O$3225="")</formula>
    </cfRule>
    <cfRule type="cellIs" dxfId="2328" priority="8296" stopIfTrue="1" operator="notEqual">
      <formula>0</formula>
    </cfRule>
  </conditionalFormatting>
  <conditionalFormatting sqref="L3240">
    <cfRule type="expression" dxfId="2327" priority="8297" stopIfTrue="1">
      <formula>OR($L$3240="F/S",$L$3240="")</formula>
    </cfRule>
    <cfRule type="cellIs" dxfId="2326" priority="8298" stopIfTrue="1" operator="notEqual">
      <formula>0</formula>
    </cfRule>
  </conditionalFormatting>
  <conditionalFormatting sqref="O3240">
    <cfRule type="expression" dxfId="2325" priority="8299" stopIfTrue="1">
      <formula>OR($O$3240="F/S",$O$3240="")</formula>
    </cfRule>
    <cfRule type="cellIs" dxfId="2324" priority="8300" stopIfTrue="1" operator="notEqual">
      <formula>0</formula>
    </cfRule>
  </conditionalFormatting>
  <conditionalFormatting sqref="L3256">
    <cfRule type="expression" dxfId="2323" priority="8301" stopIfTrue="1">
      <formula>OR($L$3256="F/S",$L$3256="")</formula>
    </cfRule>
    <cfRule type="cellIs" dxfId="2322" priority="8302" stopIfTrue="1" operator="notEqual">
      <formula>0</formula>
    </cfRule>
  </conditionalFormatting>
  <conditionalFormatting sqref="O3256">
    <cfRule type="expression" dxfId="2321" priority="8303" stopIfTrue="1">
      <formula>OR($O$3256="F/S",$O$3256="")</formula>
    </cfRule>
    <cfRule type="cellIs" dxfId="2320" priority="8304" stopIfTrue="1" operator="notEqual">
      <formula>0</formula>
    </cfRule>
  </conditionalFormatting>
  <conditionalFormatting sqref="L3269">
    <cfRule type="expression" dxfId="2319" priority="8305" stopIfTrue="1">
      <formula>OR($L$3269="F/S",$L$3269="")</formula>
    </cfRule>
    <cfRule type="cellIs" dxfId="2318" priority="8306" stopIfTrue="1" operator="notEqual">
      <formula>0</formula>
    </cfRule>
  </conditionalFormatting>
  <conditionalFormatting sqref="O3269">
    <cfRule type="expression" dxfId="2317" priority="8307" stopIfTrue="1">
      <formula>OR($O$3269="F/S",$O$3269="")</formula>
    </cfRule>
    <cfRule type="cellIs" dxfId="2316" priority="8308" stopIfTrue="1" operator="notEqual">
      <formula>0</formula>
    </cfRule>
  </conditionalFormatting>
  <conditionalFormatting sqref="L3276">
    <cfRule type="expression" dxfId="2315" priority="8309" stopIfTrue="1">
      <formula>OR($L$3276="F/S",$L$3276="")</formula>
    </cfRule>
    <cfRule type="cellIs" dxfId="2314" priority="8310" stopIfTrue="1" operator="notEqual">
      <formula>0</formula>
    </cfRule>
  </conditionalFormatting>
  <conditionalFormatting sqref="O3276">
    <cfRule type="expression" dxfId="2313" priority="8311" stopIfTrue="1">
      <formula>OR($O$3276="F/S",$O$3276="")</formula>
    </cfRule>
    <cfRule type="cellIs" dxfId="2312" priority="8312" stopIfTrue="1" operator="notEqual">
      <formula>0</formula>
    </cfRule>
  </conditionalFormatting>
  <conditionalFormatting sqref="L3286">
    <cfRule type="expression" dxfId="2311" priority="8313" stopIfTrue="1">
      <formula>OR($L$3286="F/S",$L$3286="")</formula>
    </cfRule>
    <cfRule type="cellIs" dxfId="2310" priority="8314" stopIfTrue="1" operator="notEqual">
      <formula>0</formula>
    </cfRule>
  </conditionalFormatting>
  <conditionalFormatting sqref="O3286">
    <cfRule type="expression" dxfId="2309" priority="8315" stopIfTrue="1">
      <formula>OR($O$3286="F/S",$O$3286="")</formula>
    </cfRule>
    <cfRule type="cellIs" dxfId="2308" priority="8316" stopIfTrue="1" operator="notEqual">
      <formula>0</formula>
    </cfRule>
  </conditionalFormatting>
  <conditionalFormatting sqref="L3306">
    <cfRule type="expression" dxfId="2307" priority="8317" stopIfTrue="1">
      <formula>OR($L$3306="F/S",$L$3306="")</formula>
    </cfRule>
    <cfRule type="cellIs" dxfId="2306" priority="8318" stopIfTrue="1" operator="notEqual">
      <formula>0</formula>
    </cfRule>
  </conditionalFormatting>
  <conditionalFormatting sqref="O3306">
    <cfRule type="expression" dxfId="2305" priority="8319" stopIfTrue="1">
      <formula>OR($O$3306="F/S",$O$3306="")</formula>
    </cfRule>
    <cfRule type="cellIs" dxfId="2304" priority="8320" stopIfTrue="1" operator="notEqual">
      <formula>0</formula>
    </cfRule>
  </conditionalFormatting>
  <conditionalFormatting sqref="L5208">
    <cfRule type="expression" dxfId="2303" priority="8321" stopIfTrue="1">
      <formula>OR($L$5208="F/S",$L$5208="")</formula>
    </cfRule>
    <cfRule type="cellIs" dxfId="2302" priority="8322" stopIfTrue="1" operator="notEqual">
      <formula>0</formula>
    </cfRule>
  </conditionalFormatting>
  <conditionalFormatting sqref="O5208">
    <cfRule type="expression" dxfId="2301" priority="8323" stopIfTrue="1">
      <formula>OR($O$5208="F/S",$O$5208="")</formula>
    </cfRule>
    <cfRule type="cellIs" dxfId="2300" priority="8324" stopIfTrue="1" operator="notEqual">
      <formula>0</formula>
    </cfRule>
  </conditionalFormatting>
  <conditionalFormatting sqref="L5194">
    <cfRule type="expression" dxfId="2299" priority="8325" stopIfTrue="1">
      <formula>OR($L$5194="F/S",$L$5194="")</formula>
    </cfRule>
    <cfRule type="cellIs" dxfId="2298" priority="8326" stopIfTrue="1" operator="notEqual">
      <formula>0</formula>
    </cfRule>
  </conditionalFormatting>
  <conditionalFormatting sqref="O5194">
    <cfRule type="expression" dxfId="2297" priority="8327" stopIfTrue="1">
      <formula>OR($O$5194="F/S",$O$5194="")</formula>
    </cfRule>
    <cfRule type="cellIs" dxfId="2296" priority="8328" stopIfTrue="1" operator="notEqual">
      <formula>0</formula>
    </cfRule>
  </conditionalFormatting>
  <conditionalFormatting sqref="L3319">
    <cfRule type="expression" dxfId="2295" priority="8329" stopIfTrue="1">
      <formula>OR($L$3319="F/S",$L$3319="")</formula>
    </cfRule>
    <cfRule type="cellIs" dxfId="2294" priority="8330" stopIfTrue="1" operator="notEqual">
      <formula>0</formula>
    </cfRule>
  </conditionalFormatting>
  <conditionalFormatting sqref="O3319">
    <cfRule type="expression" dxfId="2293" priority="8331" stopIfTrue="1">
      <formula>OR($O$3319="F/S",$O$3319="")</formula>
    </cfRule>
    <cfRule type="cellIs" dxfId="2292" priority="8332" stopIfTrue="1" operator="notEqual">
      <formula>0</formula>
    </cfRule>
  </conditionalFormatting>
  <conditionalFormatting sqref="L3359">
    <cfRule type="expression" dxfId="2291" priority="8333" stopIfTrue="1">
      <formula>OR($L$3359="F/S",$L$3359="")</formula>
    </cfRule>
    <cfRule type="cellIs" dxfId="2290" priority="8334" stopIfTrue="1" operator="notEqual">
      <formula>0</formula>
    </cfRule>
  </conditionalFormatting>
  <conditionalFormatting sqref="O3359">
    <cfRule type="expression" dxfId="2289" priority="8335" stopIfTrue="1">
      <formula>OR($O$3359="F/S",$O$3359="")</formula>
    </cfRule>
    <cfRule type="cellIs" dxfId="2288" priority="8336" stopIfTrue="1" operator="notEqual">
      <formula>0</formula>
    </cfRule>
  </conditionalFormatting>
  <conditionalFormatting sqref="L3329">
    <cfRule type="expression" dxfId="2287" priority="8337" stopIfTrue="1">
      <formula>OR($L$3329="F/S",$L$3329="")</formula>
    </cfRule>
    <cfRule type="cellIs" dxfId="2286" priority="8338" stopIfTrue="1" operator="notEqual">
      <formula>0</formula>
    </cfRule>
  </conditionalFormatting>
  <conditionalFormatting sqref="O3329">
    <cfRule type="expression" dxfId="2285" priority="8339" stopIfTrue="1">
      <formula>OR($O$3329="F/S",$O$3329="")</formula>
    </cfRule>
    <cfRule type="cellIs" dxfId="2284" priority="8340" stopIfTrue="1" operator="notEqual">
      <formula>0</formula>
    </cfRule>
  </conditionalFormatting>
  <conditionalFormatting sqref="L3339">
    <cfRule type="expression" dxfId="2283" priority="8341" stopIfTrue="1">
      <formula>OR($L$3339="F/S",$L$3339="")</formula>
    </cfRule>
    <cfRule type="cellIs" dxfId="2282" priority="8342" stopIfTrue="1" operator="notEqual">
      <formula>0</formula>
    </cfRule>
  </conditionalFormatting>
  <conditionalFormatting sqref="O3339">
    <cfRule type="expression" dxfId="2281" priority="8343" stopIfTrue="1">
      <formula>OR($O$3339="F/S",$O$3339="")</formula>
    </cfRule>
    <cfRule type="cellIs" dxfId="2280" priority="8344" stopIfTrue="1" operator="notEqual">
      <formula>0</formula>
    </cfRule>
  </conditionalFormatting>
  <conditionalFormatting sqref="L3349">
    <cfRule type="expression" dxfId="2279" priority="8345" stopIfTrue="1">
      <formula>OR($L$3349="F/S",$L$3349="")</formula>
    </cfRule>
    <cfRule type="cellIs" dxfId="2278" priority="8346" stopIfTrue="1" operator="notEqual">
      <formula>0</formula>
    </cfRule>
  </conditionalFormatting>
  <conditionalFormatting sqref="O3349">
    <cfRule type="expression" dxfId="2277" priority="8347" stopIfTrue="1">
      <formula>OR($O$3349="F/S",$O$3349="")</formula>
    </cfRule>
    <cfRule type="cellIs" dxfId="2276" priority="8348" stopIfTrue="1" operator="notEqual">
      <formula>0</formula>
    </cfRule>
  </conditionalFormatting>
  <conditionalFormatting sqref="L3370">
    <cfRule type="expression" dxfId="2275" priority="8349" stopIfTrue="1">
      <formula>OR($L$3370="F/S",$L$3370="")</formula>
    </cfRule>
    <cfRule type="cellIs" dxfId="2274" priority="8350" stopIfTrue="1" operator="notEqual">
      <formula>0</formula>
    </cfRule>
  </conditionalFormatting>
  <conditionalFormatting sqref="O3370">
    <cfRule type="expression" dxfId="2273" priority="8351" stopIfTrue="1">
      <formula>OR($O$3370="F/S",$O$3370="")</formula>
    </cfRule>
    <cfRule type="cellIs" dxfId="2272" priority="8352" stopIfTrue="1" operator="notEqual">
      <formula>0</formula>
    </cfRule>
  </conditionalFormatting>
  <conditionalFormatting sqref="L3409">
    <cfRule type="expression" dxfId="2271" priority="8353" stopIfTrue="1">
      <formula>OR($L$3409="F/S",$L$3409="")</formula>
    </cfRule>
    <cfRule type="cellIs" dxfId="2270" priority="8354" stopIfTrue="1" operator="notEqual">
      <formula>0</formula>
    </cfRule>
  </conditionalFormatting>
  <conditionalFormatting sqref="O3409">
    <cfRule type="expression" dxfId="2269" priority="8355" stopIfTrue="1">
      <formula>OR($O$3409="F/S",$O$3409="")</formula>
    </cfRule>
    <cfRule type="cellIs" dxfId="2268" priority="8356" stopIfTrue="1" operator="notEqual">
      <formula>0</formula>
    </cfRule>
  </conditionalFormatting>
  <conditionalFormatting sqref="L3381">
    <cfRule type="expression" dxfId="2267" priority="8357" stopIfTrue="1">
      <formula>OR($L$3381="F/S",$L$3381="")</formula>
    </cfRule>
    <cfRule type="cellIs" dxfId="2266" priority="8358" stopIfTrue="1" operator="notEqual">
      <formula>0</formula>
    </cfRule>
  </conditionalFormatting>
  <conditionalFormatting sqref="O3381">
    <cfRule type="expression" dxfId="2265" priority="8359" stopIfTrue="1">
      <formula>OR($O$3381="F/S",$O$3381="")</formula>
    </cfRule>
    <cfRule type="cellIs" dxfId="2264" priority="8360" stopIfTrue="1" operator="notEqual">
      <formula>0</formula>
    </cfRule>
  </conditionalFormatting>
  <conditionalFormatting sqref="L3394">
    <cfRule type="expression" dxfId="2263" priority="8361" stopIfTrue="1">
      <formula>OR($L$3394="F/S",$L$3394="")</formula>
    </cfRule>
    <cfRule type="cellIs" dxfId="2262" priority="8362" stopIfTrue="1" operator="notEqual">
      <formula>0</formula>
    </cfRule>
  </conditionalFormatting>
  <conditionalFormatting sqref="O3394">
    <cfRule type="expression" dxfId="2261" priority="8363" stopIfTrue="1">
      <formula>OR($O$3394="F/S",$O$3394="")</formula>
    </cfRule>
    <cfRule type="cellIs" dxfId="2260" priority="8364" stopIfTrue="1" operator="notEqual">
      <formula>0</formula>
    </cfRule>
  </conditionalFormatting>
  <conditionalFormatting sqref="L3421">
    <cfRule type="expression" dxfId="2259" priority="8365" stopIfTrue="1">
      <formula>OR($L$3421="F/S",$L$3421="")</formula>
    </cfRule>
    <cfRule type="cellIs" dxfId="2258" priority="8366" stopIfTrue="1" operator="notEqual">
      <formula>0</formula>
    </cfRule>
  </conditionalFormatting>
  <conditionalFormatting sqref="O3421">
    <cfRule type="expression" dxfId="2257" priority="8367" stopIfTrue="1">
      <formula>OR($O$3421="F/S",$O$3421="")</formula>
    </cfRule>
    <cfRule type="cellIs" dxfId="2256" priority="8368" stopIfTrue="1" operator="notEqual">
      <formula>0</formula>
    </cfRule>
  </conditionalFormatting>
  <conditionalFormatting sqref="L3432">
    <cfRule type="expression" dxfId="2255" priority="8369" stopIfTrue="1">
      <formula>OR($L$3432="F/S",$L$3432="")</formula>
    </cfRule>
    <cfRule type="cellIs" dxfId="2254" priority="8370" stopIfTrue="1" operator="notEqual">
      <formula>0</formula>
    </cfRule>
  </conditionalFormatting>
  <conditionalFormatting sqref="O3432">
    <cfRule type="expression" dxfId="2253" priority="8371" stopIfTrue="1">
      <formula>OR($O$3432="F/S",$O$3432="")</formula>
    </cfRule>
    <cfRule type="cellIs" dxfId="2252" priority="8372" stopIfTrue="1" operator="notEqual">
      <formula>0</formula>
    </cfRule>
  </conditionalFormatting>
  <conditionalFormatting sqref="L3443">
    <cfRule type="expression" dxfId="2251" priority="8373" stopIfTrue="1">
      <formula>OR($L$3443="F/S",$L$3443="")</formula>
    </cfRule>
    <cfRule type="cellIs" dxfId="2250" priority="8374" stopIfTrue="1" operator="notEqual">
      <formula>0</formula>
    </cfRule>
  </conditionalFormatting>
  <conditionalFormatting sqref="O3443">
    <cfRule type="expression" dxfId="2249" priority="8375" stopIfTrue="1">
      <formula>OR($O$3443="F/S",$O$3443="")</formula>
    </cfRule>
    <cfRule type="cellIs" dxfId="2248" priority="8376" stopIfTrue="1" operator="notEqual">
      <formula>0</formula>
    </cfRule>
  </conditionalFormatting>
  <conditionalFormatting sqref="L3471">
    <cfRule type="expression" dxfId="2247" priority="8377" stopIfTrue="1">
      <formula>OR($L$3471="F/S",$L$3471="")</formula>
    </cfRule>
    <cfRule type="cellIs" dxfId="2246" priority="8378" stopIfTrue="1" operator="notEqual">
      <formula>0</formula>
    </cfRule>
  </conditionalFormatting>
  <conditionalFormatting sqref="O3471">
    <cfRule type="expression" dxfId="2245" priority="8379" stopIfTrue="1">
      <formula>OR($O$3471="F/S",$O$3471="")</formula>
    </cfRule>
    <cfRule type="cellIs" dxfId="2244" priority="8380" stopIfTrue="1" operator="notEqual">
      <formula>0</formula>
    </cfRule>
  </conditionalFormatting>
  <conditionalFormatting sqref="L3454">
    <cfRule type="expression" dxfId="2243" priority="8381" stopIfTrue="1">
      <formula>OR($L$3454="F/S",$L$3454="")</formula>
    </cfRule>
    <cfRule type="cellIs" dxfId="2242" priority="8382" stopIfTrue="1" operator="notEqual">
      <formula>0</formula>
    </cfRule>
  </conditionalFormatting>
  <conditionalFormatting sqref="O3454">
    <cfRule type="expression" dxfId="2241" priority="8383" stopIfTrue="1">
      <formula>OR($O$3454="F/S",$O$3454="")</formula>
    </cfRule>
    <cfRule type="cellIs" dxfId="2240" priority="8384" stopIfTrue="1" operator="notEqual">
      <formula>0</formula>
    </cfRule>
  </conditionalFormatting>
  <conditionalFormatting sqref="L3491">
    <cfRule type="expression" dxfId="2239" priority="8385" stopIfTrue="1">
      <formula>OR($L$3491="F/S",$L$3491="")</formula>
    </cfRule>
    <cfRule type="cellIs" dxfId="2238" priority="8386" stopIfTrue="1" operator="notEqual">
      <formula>0</formula>
    </cfRule>
  </conditionalFormatting>
  <conditionalFormatting sqref="O3491">
    <cfRule type="expression" dxfId="2237" priority="8387" stopIfTrue="1">
      <formula>OR($O$3491="F/S",$O$3491="")</formula>
    </cfRule>
    <cfRule type="cellIs" dxfId="2236" priority="8388" stopIfTrue="1" operator="notEqual">
      <formula>0</formula>
    </cfRule>
  </conditionalFormatting>
  <conditionalFormatting sqref="L3481">
    <cfRule type="expression" dxfId="2235" priority="8389" stopIfTrue="1">
      <formula>OR($L$3481="F/S",$L$3481="")</formula>
    </cfRule>
    <cfRule type="cellIs" dxfId="2234" priority="8390" stopIfTrue="1" operator="notEqual">
      <formula>0</formula>
    </cfRule>
  </conditionalFormatting>
  <conditionalFormatting sqref="O3481">
    <cfRule type="expression" dxfId="2233" priority="8391" stopIfTrue="1">
      <formula>OR($O$3481="F/S",$O$3481="")</formula>
    </cfRule>
    <cfRule type="cellIs" dxfId="2232" priority="8392" stopIfTrue="1" operator="notEqual">
      <formula>0</formula>
    </cfRule>
  </conditionalFormatting>
  <conditionalFormatting sqref="L3501">
    <cfRule type="expression" dxfId="2231" priority="8393" stopIfTrue="1">
      <formula>OR($L$3501="F/S",$L$3501="")</formula>
    </cfRule>
    <cfRule type="cellIs" dxfId="2230" priority="8394" stopIfTrue="1" operator="notEqual">
      <formula>0</formula>
    </cfRule>
  </conditionalFormatting>
  <conditionalFormatting sqref="O3501">
    <cfRule type="expression" dxfId="2229" priority="8395" stopIfTrue="1">
      <formula>OR($O$3501="F/S",$O$3501="")</formula>
    </cfRule>
    <cfRule type="cellIs" dxfId="2228" priority="8396" stopIfTrue="1" operator="notEqual">
      <formula>0</formula>
    </cfRule>
  </conditionalFormatting>
  <conditionalFormatting sqref="L3511">
    <cfRule type="expression" dxfId="2227" priority="8397" stopIfTrue="1">
      <formula>OR($L$3511="F/S",$L$3511="")</formula>
    </cfRule>
    <cfRule type="cellIs" dxfId="2226" priority="8398" stopIfTrue="1" operator="notEqual">
      <formula>0</formula>
    </cfRule>
  </conditionalFormatting>
  <conditionalFormatting sqref="O3511">
    <cfRule type="expression" dxfId="2225" priority="8399" stopIfTrue="1">
      <formula>OR($O$3511="F/S",$O$3511="")</formula>
    </cfRule>
    <cfRule type="cellIs" dxfId="2224" priority="8400" stopIfTrue="1" operator="notEqual">
      <formula>0</formula>
    </cfRule>
  </conditionalFormatting>
  <conditionalFormatting sqref="L3531">
    <cfRule type="expression" dxfId="2223" priority="8405" stopIfTrue="1">
      <formula>OR($L$3531="F/S",$L$3531="")</formula>
    </cfRule>
    <cfRule type="cellIs" dxfId="2222" priority="8406" stopIfTrue="1" operator="notEqual">
      <formula>0</formula>
    </cfRule>
  </conditionalFormatting>
  <conditionalFormatting sqref="O3531">
    <cfRule type="expression" dxfId="2221" priority="8407" stopIfTrue="1">
      <formula>OR($O$3531="F/S",$O$3531="")</formula>
    </cfRule>
    <cfRule type="cellIs" dxfId="2220" priority="8408" stopIfTrue="1" operator="notEqual">
      <formula>0</formula>
    </cfRule>
  </conditionalFormatting>
  <conditionalFormatting sqref="L3558">
    <cfRule type="expression" dxfId="2219" priority="8409" stopIfTrue="1">
      <formula>OR($L$3558="F/S",$L$3558="")</formula>
    </cfRule>
    <cfRule type="cellIs" dxfId="2218" priority="8410" stopIfTrue="1" operator="notEqual">
      <formula>0</formula>
    </cfRule>
  </conditionalFormatting>
  <conditionalFormatting sqref="O3558">
    <cfRule type="expression" dxfId="2217" priority="8411" stopIfTrue="1">
      <formula>OR($O$3558="F/S",$O$3558="")</formula>
    </cfRule>
    <cfRule type="cellIs" dxfId="2216" priority="8412" stopIfTrue="1" operator="notEqual">
      <formula>0</formula>
    </cfRule>
  </conditionalFormatting>
  <conditionalFormatting sqref="L3568">
    <cfRule type="expression" dxfId="2215" priority="8413" stopIfTrue="1">
      <formula>OR($L$3568="F/S",$L$3568="")</formula>
    </cfRule>
    <cfRule type="cellIs" dxfId="2214" priority="8414" stopIfTrue="1" operator="notEqual">
      <formula>0</formula>
    </cfRule>
  </conditionalFormatting>
  <conditionalFormatting sqref="O3568">
    <cfRule type="expression" dxfId="2213" priority="8415" stopIfTrue="1">
      <formula>OR($O$3568="F/S",$O$3568="")</formula>
    </cfRule>
    <cfRule type="cellIs" dxfId="2212" priority="8416" stopIfTrue="1" operator="notEqual">
      <formula>0</formula>
    </cfRule>
  </conditionalFormatting>
  <conditionalFormatting sqref="L3588">
    <cfRule type="expression" dxfId="2211" priority="8417" stopIfTrue="1">
      <formula>OR($L$3588="F/S",$L$3588="")</formula>
    </cfRule>
    <cfRule type="cellIs" dxfId="2210" priority="8418" stopIfTrue="1" operator="notEqual">
      <formula>0</formula>
    </cfRule>
  </conditionalFormatting>
  <conditionalFormatting sqref="O3588">
    <cfRule type="expression" dxfId="2209" priority="8419" stopIfTrue="1">
      <formula>OR($O$3588="F/S",$O$3588="")</formula>
    </cfRule>
    <cfRule type="cellIs" dxfId="2208" priority="8420" stopIfTrue="1" operator="notEqual">
      <formula>0</formula>
    </cfRule>
  </conditionalFormatting>
  <conditionalFormatting sqref="L3578">
    <cfRule type="expression" dxfId="2207" priority="8425" stopIfTrue="1">
      <formula>OR($L$3578="F/S",$L$3578="")</formula>
    </cfRule>
    <cfRule type="cellIs" dxfId="2206" priority="8426" stopIfTrue="1" operator="notEqual">
      <formula>0</formula>
    </cfRule>
  </conditionalFormatting>
  <conditionalFormatting sqref="O3578">
    <cfRule type="expression" dxfId="2205" priority="8427" stopIfTrue="1">
      <formula>OR($O$3578="F/S",$O$3578="")</formula>
    </cfRule>
    <cfRule type="cellIs" dxfId="2204" priority="8428" stopIfTrue="1" operator="notEqual">
      <formula>0</formula>
    </cfRule>
  </conditionalFormatting>
  <conditionalFormatting sqref="L3541">
    <cfRule type="expression" dxfId="2203" priority="8429" stopIfTrue="1">
      <formula>OR($L$3541="F/S",$L$3541="")</formula>
    </cfRule>
    <cfRule type="cellIs" dxfId="2202" priority="8430" stopIfTrue="1" operator="notEqual">
      <formula>0</formula>
    </cfRule>
  </conditionalFormatting>
  <conditionalFormatting sqref="O3541">
    <cfRule type="expression" dxfId="2201" priority="8431" stopIfTrue="1">
      <formula>OR($O$3541="F/S",$O$3541="")</formula>
    </cfRule>
    <cfRule type="cellIs" dxfId="2200" priority="8432" stopIfTrue="1" operator="notEqual">
      <formula>0</formula>
    </cfRule>
  </conditionalFormatting>
  <conditionalFormatting sqref="L3598">
    <cfRule type="expression" dxfId="2199" priority="8433" stopIfTrue="1">
      <formula>OR($L$3598="F/S",$L$3598="")</formula>
    </cfRule>
    <cfRule type="cellIs" dxfId="2198" priority="8434" stopIfTrue="1" operator="notEqual">
      <formula>0</formula>
    </cfRule>
  </conditionalFormatting>
  <conditionalFormatting sqref="O3598">
    <cfRule type="expression" dxfId="2197" priority="8435" stopIfTrue="1">
      <formula>OR($O$3598="F/S",$O$3598="")</formula>
    </cfRule>
    <cfRule type="cellIs" dxfId="2196" priority="8436" stopIfTrue="1" operator="notEqual">
      <formula>0</formula>
    </cfRule>
  </conditionalFormatting>
  <conditionalFormatting sqref="L3618">
    <cfRule type="expression" dxfId="2195" priority="8437" stopIfTrue="1">
      <formula>OR($L$3618="F/S",$L$3618="")</formula>
    </cfRule>
    <cfRule type="cellIs" dxfId="2194" priority="8438" stopIfTrue="1" operator="notEqual">
      <formula>0</formula>
    </cfRule>
  </conditionalFormatting>
  <conditionalFormatting sqref="O3618">
    <cfRule type="expression" dxfId="2193" priority="8439" stopIfTrue="1">
      <formula>OR($O$3618="F/S",$O$3618="")</formula>
    </cfRule>
    <cfRule type="cellIs" dxfId="2192" priority="8440" stopIfTrue="1" operator="notEqual">
      <formula>0</formula>
    </cfRule>
  </conditionalFormatting>
  <conditionalFormatting sqref="L3628">
    <cfRule type="expression" dxfId="2191" priority="8441" stopIfTrue="1">
      <formula>OR($L$3628="F/S",$L$3628="")</formula>
    </cfRule>
    <cfRule type="cellIs" dxfId="2190" priority="8442" stopIfTrue="1" operator="notEqual">
      <formula>0</formula>
    </cfRule>
  </conditionalFormatting>
  <conditionalFormatting sqref="O3628">
    <cfRule type="expression" dxfId="2189" priority="8443" stopIfTrue="1">
      <formula>OR($O$3628="F/S",$O$3628="")</formula>
    </cfRule>
    <cfRule type="cellIs" dxfId="2188" priority="8444" stopIfTrue="1" operator="notEqual">
      <formula>0</formula>
    </cfRule>
  </conditionalFormatting>
  <conditionalFormatting sqref="L3657">
    <cfRule type="expression" dxfId="2187" priority="8445" stopIfTrue="1">
      <formula>OR($L$3657="F/S",$L$3657="")</formula>
    </cfRule>
    <cfRule type="cellIs" dxfId="2186" priority="8446" stopIfTrue="1" operator="notEqual">
      <formula>0</formula>
    </cfRule>
  </conditionalFormatting>
  <conditionalFormatting sqref="O3657">
    <cfRule type="expression" dxfId="2185" priority="8447" stopIfTrue="1">
      <formula>OR($O$3657="F/S",$O$3657="")</formula>
    </cfRule>
    <cfRule type="cellIs" dxfId="2184" priority="8448" stopIfTrue="1" operator="notEqual">
      <formula>0</formula>
    </cfRule>
  </conditionalFormatting>
  <conditionalFormatting sqref="L3681">
    <cfRule type="expression" dxfId="2183" priority="8449" stopIfTrue="1">
      <formula>OR($L$3681="F/S",$L$3681="")</formula>
    </cfRule>
    <cfRule type="cellIs" dxfId="2182" priority="8450" stopIfTrue="1" operator="notEqual">
      <formula>0</formula>
    </cfRule>
  </conditionalFormatting>
  <conditionalFormatting sqref="O3681">
    <cfRule type="expression" dxfId="2181" priority="8451" stopIfTrue="1">
      <formula>OR($O$3681="F/S",$O$3681="")</formula>
    </cfRule>
    <cfRule type="cellIs" dxfId="2180" priority="8452" stopIfTrue="1" operator="notEqual">
      <formula>0</formula>
    </cfRule>
  </conditionalFormatting>
  <conditionalFormatting sqref="L3713">
    <cfRule type="expression" dxfId="2179" priority="8453" stopIfTrue="1">
      <formula>OR($L$3713="F/S",$L$3713="")</formula>
    </cfRule>
    <cfRule type="cellIs" dxfId="2178" priority="8454" stopIfTrue="1" operator="notEqual">
      <formula>0</formula>
    </cfRule>
  </conditionalFormatting>
  <conditionalFormatting sqref="O3713">
    <cfRule type="expression" dxfId="2177" priority="8455" stopIfTrue="1">
      <formula>OR($O$3713="F/S",$O$3713="")</formula>
    </cfRule>
    <cfRule type="cellIs" dxfId="2176" priority="8456" stopIfTrue="1" operator="notEqual">
      <formula>0</formula>
    </cfRule>
  </conditionalFormatting>
  <conditionalFormatting sqref="L3727">
    <cfRule type="expression" dxfId="2175" priority="8461" stopIfTrue="1">
      <formula>OR($L$3727="F/S",$L$3727="")</formula>
    </cfRule>
    <cfRule type="cellIs" dxfId="2174" priority="8462" stopIfTrue="1" operator="notEqual">
      <formula>0</formula>
    </cfRule>
  </conditionalFormatting>
  <conditionalFormatting sqref="O3727">
    <cfRule type="expression" dxfId="2173" priority="8463" stopIfTrue="1">
      <formula>OR($O$3727="F/S",$O$3727="")</formula>
    </cfRule>
    <cfRule type="cellIs" dxfId="2172" priority="8464" stopIfTrue="1" operator="notEqual">
      <formula>0</formula>
    </cfRule>
  </conditionalFormatting>
  <conditionalFormatting sqref="L3746">
    <cfRule type="expression" dxfId="2171" priority="8465" stopIfTrue="1">
      <formula>OR($L$3746="F/S",$L$3746="")</formula>
    </cfRule>
    <cfRule type="cellIs" dxfId="2170" priority="8466" stopIfTrue="1" operator="notEqual">
      <formula>0</formula>
    </cfRule>
  </conditionalFormatting>
  <conditionalFormatting sqref="O3746">
    <cfRule type="expression" dxfId="2169" priority="8467" stopIfTrue="1">
      <formula>OR($O$3746="F/S",$O$3746="")</formula>
    </cfRule>
    <cfRule type="cellIs" dxfId="2168" priority="8468" stopIfTrue="1" operator="notEqual">
      <formula>0</formula>
    </cfRule>
  </conditionalFormatting>
  <conditionalFormatting sqref="L3770">
    <cfRule type="expression" dxfId="2167" priority="8469" stopIfTrue="1">
      <formula>OR($L$3770="F/S",$L$3770="")</formula>
    </cfRule>
    <cfRule type="cellIs" dxfId="2166" priority="8470" stopIfTrue="1" operator="notEqual">
      <formula>0</formula>
    </cfRule>
  </conditionalFormatting>
  <conditionalFormatting sqref="O3770">
    <cfRule type="expression" dxfId="2165" priority="8471" stopIfTrue="1">
      <formula>OR($O$3770="F/S",$O$3770="")</formula>
    </cfRule>
    <cfRule type="cellIs" dxfId="2164" priority="8472" stopIfTrue="1" operator="notEqual">
      <formula>0</formula>
    </cfRule>
  </conditionalFormatting>
  <conditionalFormatting sqref="L3790">
    <cfRule type="expression" dxfId="2163" priority="8473" stopIfTrue="1">
      <formula>OR($L$3790="F/S",$L$3790="")</formula>
    </cfRule>
    <cfRule type="cellIs" dxfId="2162" priority="8474" stopIfTrue="1" operator="notEqual">
      <formula>0</formula>
    </cfRule>
  </conditionalFormatting>
  <conditionalFormatting sqref="O3790">
    <cfRule type="expression" dxfId="2161" priority="8475" stopIfTrue="1">
      <formula>OR($O$3790="F/S",$O$3790="")</formula>
    </cfRule>
    <cfRule type="cellIs" dxfId="2160" priority="8476" stopIfTrue="1" operator="notEqual">
      <formula>0</formula>
    </cfRule>
  </conditionalFormatting>
  <conditionalFormatting sqref="L3801">
    <cfRule type="expression" dxfId="2159" priority="8477" stopIfTrue="1">
      <formula>OR($L$3801="F/S",$L$3801="")</formula>
    </cfRule>
    <cfRule type="cellIs" dxfId="2158" priority="8478" stopIfTrue="1" operator="notEqual">
      <formula>0</formula>
    </cfRule>
  </conditionalFormatting>
  <conditionalFormatting sqref="O3801">
    <cfRule type="expression" dxfId="2157" priority="8479" stopIfTrue="1">
      <formula>OR($O$3801="F/S",$O$3801="")</formula>
    </cfRule>
    <cfRule type="cellIs" dxfId="2156" priority="8480" stopIfTrue="1" operator="notEqual">
      <formula>0</formula>
    </cfRule>
  </conditionalFormatting>
  <conditionalFormatting sqref="L3818">
    <cfRule type="expression" dxfId="2155" priority="8481" stopIfTrue="1">
      <formula>OR($L$3818="F/S",$L$3818="")</formula>
    </cfRule>
    <cfRule type="cellIs" dxfId="2154" priority="8482" stopIfTrue="1" operator="notEqual">
      <formula>0</formula>
    </cfRule>
  </conditionalFormatting>
  <conditionalFormatting sqref="O3818">
    <cfRule type="expression" dxfId="2153" priority="8483" stopIfTrue="1">
      <formula>OR($O$3818="F/S",$O$3818="")</formula>
    </cfRule>
    <cfRule type="cellIs" dxfId="2152" priority="8484" stopIfTrue="1" operator="notEqual">
      <formula>0</formula>
    </cfRule>
  </conditionalFormatting>
  <conditionalFormatting sqref="L3829">
    <cfRule type="expression" dxfId="2151" priority="8485" stopIfTrue="1">
      <formula>OR($L$3829="F/S",$L$3829="")</formula>
    </cfRule>
    <cfRule type="cellIs" dxfId="2150" priority="8486" stopIfTrue="1" operator="notEqual">
      <formula>0</formula>
    </cfRule>
  </conditionalFormatting>
  <conditionalFormatting sqref="O3829">
    <cfRule type="expression" dxfId="2149" priority="8487" stopIfTrue="1">
      <formula>OR($O$3829="F/S",$O$3829="")</formula>
    </cfRule>
    <cfRule type="cellIs" dxfId="2148" priority="8488" stopIfTrue="1" operator="notEqual">
      <formula>0</formula>
    </cfRule>
  </conditionalFormatting>
  <conditionalFormatting sqref="L3856">
    <cfRule type="expression" dxfId="2147" priority="8489" stopIfTrue="1">
      <formula>OR($L$3856="F/S",$L$3856="")</formula>
    </cfRule>
    <cfRule type="cellIs" dxfId="2146" priority="8490" stopIfTrue="1" operator="notEqual">
      <formula>0</formula>
    </cfRule>
  </conditionalFormatting>
  <conditionalFormatting sqref="O3856">
    <cfRule type="expression" dxfId="2145" priority="8491" stopIfTrue="1">
      <formula>OR($O$3856="F/S",$O$3856="")</formula>
    </cfRule>
    <cfRule type="cellIs" dxfId="2144" priority="8492" stopIfTrue="1" operator="notEqual">
      <formula>0</formula>
    </cfRule>
  </conditionalFormatting>
  <conditionalFormatting sqref="L3839">
    <cfRule type="expression" dxfId="2143" priority="8493" stopIfTrue="1">
      <formula>OR($L$3839="F/S",$L$3839="")</formula>
    </cfRule>
    <cfRule type="cellIs" dxfId="2142" priority="8494" stopIfTrue="1" operator="notEqual">
      <formula>0</formula>
    </cfRule>
  </conditionalFormatting>
  <conditionalFormatting sqref="O3839">
    <cfRule type="expression" dxfId="2141" priority="8495" stopIfTrue="1">
      <formula>OR($O$3839="F/S",$O$3839="")</formula>
    </cfRule>
    <cfRule type="cellIs" dxfId="2140" priority="8496" stopIfTrue="1" operator="notEqual">
      <formula>0</formula>
    </cfRule>
  </conditionalFormatting>
  <conditionalFormatting sqref="L3886">
    <cfRule type="expression" dxfId="2139" priority="8497" stopIfTrue="1">
      <formula>OR($L$3886="F/S",$L$3886="")</formula>
    </cfRule>
    <cfRule type="cellIs" dxfId="2138" priority="8498" stopIfTrue="1" operator="notEqual">
      <formula>0</formula>
    </cfRule>
  </conditionalFormatting>
  <conditionalFormatting sqref="O3886">
    <cfRule type="expression" dxfId="2137" priority="8499" stopIfTrue="1">
      <formula>OR($O$3886="F/S",$O$3886="")</formula>
    </cfRule>
    <cfRule type="cellIs" dxfId="2136" priority="8500" stopIfTrue="1" operator="notEqual">
      <formula>0</formula>
    </cfRule>
  </conditionalFormatting>
  <conditionalFormatting sqref="L3866">
    <cfRule type="expression" dxfId="2135" priority="8501" stopIfTrue="1">
      <formula>OR($L$3866="F/S",$L$3866="")</formula>
    </cfRule>
    <cfRule type="cellIs" dxfId="2134" priority="8502" stopIfTrue="1" operator="notEqual">
      <formula>0</formula>
    </cfRule>
  </conditionalFormatting>
  <conditionalFormatting sqref="O3866">
    <cfRule type="expression" dxfId="2133" priority="8503" stopIfTrue="1">
      <formula>OR($O$3866="F/S",$O$3866="")</formula>
    </cfRule>
    <cfRule type="cellIs" dxfId="2132" priority="8504" stopIfTrue="1" operator="notEqual">
      <formula>0</formula>
    </cfRule>
  </conditionalFormatting>
  <conditionalFormatting sqref="L3876">
    <cfRule type="expression" dxfId="2131" priority="8505" stopIfTrue="1">
      <formula>OR($L$3876="F/S",$L$3876="")</formula>
    </cfRule>
    <cfRule type="cellIs" dxfId="2130" priority="8506" stopIfTrue="1" operator="notEqual">
      <formula>0</formula>
    </cfRule>
  </conditionalFormatting>
  <conditionalFormatting sqref="O3876">
    <cfRule type="expression" dxfId="2129" priority="8507" stopIfTrue="1">
      <formula>OR($O$3876="F/S",$O$3876="")</formula>
    </cfRule>
    <cfRule type="cellIs" dxfId="2128" priority="8508" stopIfTrue="1" operator="notEqual">
      <formula>0</formula>
    </cfRule>
  </conditionalFormatting>
  <conditionalFormatting sqref="L3896">
    <cfRule type="expression" dxfId="2127" priority="8509" stopIfTrue="1">
      <formula>OR($L$3896="F/S",$L$3896="")</formula>
    </cfRule>
    <cfRule type="cellIs" dxfId="2126" priority="8510" stopIfTrue="1" operator="notEqual">
      <formula>0</formula>
    </cfRule>
  </conditionalFormatting>
  <conditionalFormatting sqref="O3896">
    <cfRule type="expression" dxfId="2125" priority="8511" stopIfTrue="1">
      <formula>OR($O$3896="F/S",$O$3896="")</formula>
    </cfRule>
    <cfRule type="cellIs" dxfId="2124" priority="8512" stopIfTrue="1" operator="notEqual">
      <formula>0</formula>
    </cfRule>
  </conditionalFormatting>
  <conditionalFormatting sqref="L3760">
    <cfRule type="expression" dxfId="2123" priority="8513" stopIfTrue="1">
      <formula>OR($L$3760="F/S",$L$3760="")</formula>
    </cfRule>
    <cfRule type="cellIs" dxfId="2122" priority="8514" stopIfTrue="1" operator="notEqual">
      <formula>0</formula>
    </cfRule>
  </conditionalFormatting>
  <conditionalFormatting sqref="O3760">
    <cfRule type="expression" dxfId="2121" priority="8515" stopIfTrue="1">
      <formula>OR($O$3760="F/S",$O$3760="")</formula>
    </cfRule>
    <cfRule type="cellIs" dxfId="2120" priority="8516" stopIfTrue="1" operator="notEqual">
      <formula>0</formula>
    </cfRule>
  </conditionalFormatting>
  <conditionalFormatting sqref="L3916">
    <cfRule type="expression" dxfId="2119" priority="8517" stopIfTrue="1">
      <formula>OR($L$3916="F/S",$L$3916="")</formula>
    </cfRule>
    <cfRule type="cellIs" dxfId="2118" priority="8518" stopIfTrue="1" operator="notEqual">
      <formula>0</formula>
    </cfRule>
  </conditionalFormatting>
  <conditionalFormatting sqref="O3916">
    <cfRule type="expression" dxfId="2117" priority="8519" stopIfTrue="1">
      <formula>OR($O$3916="F/S",$O$3916="")</formula>
    </cfRule>
    <cfRule type="cellIs" dxfId="2116" priority="8520" stopIfTrue="1" operator="notEqual">
      <formula>0</formula>
    </cfRule>
  </conditionalFormatting>
  <conditionalFormatting sqref="L3927">
    <cfRule type="expression" dxfId="2115" priority="8521" stopIfTrue="1">
      <formula>OR($L$3927="F/S",$L$3927="")</formula>
    </cfRule>
    <cfRule type="cellIs" dxfId="2114" priority="8522" stopIfTrue="1" operator="notEqual">
      <formula>0</formula>
    </cfRule>
  </conditionalFormatting>
  <conditionalFormatting sqref="O3927">
    <cfRule type="expression" dxfId="2113" priority="8523" stopIfTrue="1">
      <formula>OR($O$3927="F/S",$O$3927="")</formula>
    </cfRule>
    <cfRule type="cellIs" dxfId="2112" priority="8524" stopIfTrue="1" operator="notEqual">
      <formula>0</formula>
    </cfRule>
  </conditionalFormatting>
  <conditionalFormatting sqref="L3937">
    <cfRule type="expression" dxfId="2111" priority="8525" stopIfTrue="1">
      <formula>OR($L$3937="F/S",$L$3937="")</formula>
    </cfRule>
    <cfRule type="cellIs" dxfId="2110" priority="8526" stopIfTrue="1" operator="notEqual">
      <formula>0</formula>
    </cfRule>
  </conditionalFormatting>
  <conditionalFormatting sqref="O3937">
    <cfRule type="expression" dxfId="2109" priority="8527" stopIfTrue="1">
      <formula>OR($O$3937="F/S",$O$3937="")</formula>
    </cfRule>
    <cfRule type="cellIs" dxfId="2108" priority="8528" stopIfTrue="1" operator="notEqual">
      <formula>0</formula>
    </cfRule>
  </conditionalFormatting>
  <conditionalFormatting sqref="L3947">
    <cfRule type="expression" dxfId="2107" priority="8529" stopIfTrue="1">
      <formula>OR($L$3947="F/S",$L$3947="")</formula>
    </cfRule>
    <cfRule type="cellIs" dxfId="2106" priority="8530" stopIfTrue="1" operator="notEqual">
      <formula>0</formula>
    </cfRule>
  </conditionalFormatting>
  <conditionalFormatting sqref="O3947">
    <cfRule type="expression" dxfId="2105" priority="8531" stopIfTrue="1">
      <formula>OR($O$3947="F/S",$O$3947="")</formula>
    </cfRule>
    <cfRule type="cellIs" dxfId="2104" priority="8532" stopIfTrue="1" operator="notEqual">
      <formula>0</formula>
    </cfRule>
  </conditionalFormatting>
  <conditionalFormatting sqref="L3957">
    <cfRule type="expression" dxfId="2103" priority="8533" stopIfTrue="1">
      <formula>OR($L$3957="F/S",$L$3957="")</formula>
    </cfRule>
    <cfRule type="cellIs" dxfId="2102" priority="8534" stopIfTrue="1" operator="notEqual">
      <formula>0</formula>
    </cfRule>
  </conditionalFormatting>
  <conditionalFormatting sqref="O3957">
    <cfRule type="expression" dxfId="2101" priority="8535" stopIfTrue="1">
      <formula>OR($O$3957="F/S",$O$3957="")</formula>
    </cfRule>
    <cfRule type="cellIs" dxfId="2100" priority="8536" stopIfTrue="1" operator="notEqual">
      <formula>0</formula>
    </cfRule>
  </conditionalFormatting>
  <conditionalFormatting sqref="L3968">
    <cfRule type="expression" dxfId="2099" priority="8537" stopIfTrue="1">
      <formula>OR($L$3968="F/S",$L$3968="")</formula>
    </cfRule>
    <cfRule type="cellIs" dxfId="2098" priority="8538" stopIfTrue="1" operator="notEqual">
      <formula>0</formula>
    </cfRule>
  </conditionalFormatting>
  <conditionalFormatting sqref="O3968">
    <cfRule type="expression" dxfId="2097" priority="8539" stopIfTrue="1">
      <formula>OR($O$3968="F/S",$O$3968="")</formula>
    </cfRule>
    <cfRule type="cellIs" dxfId="2096" priority="8540" stopIfTrue="1" operator="notEqual">
      <formula>0</formula>
    </cfRule>
  </conditionalFormatting>
  <conditionalFormatting sqref="L3979">
    <cfRule type="expression" dxfId="2095" priority="8541" stopIfTrue="1">
      <formula>OR($L$3979="F/S",$L$3979="")</formula>
    </cfRule>
    <cfRule type="cellIs" dxfId="2094" priority="8542" stopIfTrue="1" operator="notEqual">
      <formula>0</formula>
    </cfRule>
  </conditionalFormatting>
  <conditionalFormatting sqref="O3979">
    <cfRule type="expression" dxfId="2093" priority="8543" stopIfTrue="1">
      <formula>OR($O$3979="F/S",$O$3979="")</formula>
    </cfRule>
    <cfRule type="cellIs" dxfId="2092" priority="8544" stopIfTrue="1" operator="notEqual">
      <formula>0</formula>
    </cfRule>
  </conditionalFormatting>
  <conditionalFormatting sqref="L3997">
    <cfRule type="expression" dxfId="2091" priority="8549" stopIfTrue="1">
      <formula>OR($L$3997="F/S",$L$3997="")</formula>
    </cfRule>
    <cfRule type="cellIs" dxfId="2090" priority="8550" stopIfTrue="1" operator="notEqual">
      <formula>0</formula>
    </cfRule>
  </conditionalFormatting>
  <conditionalFormatting sqref="O3997">
    <cfRule type="expression" dxfId="2089" priority="8551" stopIfTrue="1">
      <formula>OR($O$3997="F/S",$O$3997="")</formula>
    </cfRule>
    <cfRule type="cellIs" dxfId="2088" priority="8552" stopIfTrue="1" operator="notEqual">
      <formula>0</formula>
    </cfRule>
  </conditionalFormatting>
  <conditionalFormatting sqref="L4010">
    <cfRule type="expression" dxfId="2087" priority="8553" stopIfTrue="1">
      <formula>OR($L$4010="F/S",$L$4010="")</formula>
    </cfRule>
    <cfRule type="cellIs" dxfId="2086" priority="8554" stopIfTrue="1" operator="notEqual">
      <formula>0</formula>
    </cfRule>
  </conditionalFormatting>
  <conditionalFormatting sqref="O4010">
    <cfRule type="expression" dxfId="2085" priority="8555" stopIfTrue="1">
      <formula>OR($O$4010="F/S",$O$4010="")</formula>
    </cfRule>
    <cfRule type="cellIs" dxfId="2084" priority="8556" stopIfTrue="1" operator="notEqual">
      <formula>0</formula>
    </cfRule>
  </conditionalFormatting>
  <conditionalFormatting sqref="L4020">
    <cfRule type="expression" dxfId="2083" priority="8557" stopIfTrue="1">
      <formula>OR($L$4020="F/S",$L$4020="")</formula>
    </cfRule>
    <cfRule type="cellIs" dxfId="2082" priority="8558" stopIfTrue="1" operator="notEqual">
      <formula>0</formula>
    </cfRule>
  </conditionalFormatting>
  <conditionalFormatting sqref="O4020">
    <cfRule type="expression" dxfId="2081" priority="8559" stopIfTrue="1">
      <formula>OR($O$4020="F/S",$O$4020="")</formula>
    </cfRule>
    <cfRule type="cellIs" dxfId="2080" priority="8560" stopIfTrue="1" operator="notEqual">
      <formula>0</formula>
    </cfRule>
  </conditionalFormatting>
  <conditionalFormatting sqref="L4030">
    <cfRule type="expression" dxfId="2079" priority="8561" stopIfTrue="1">
      <formula>OR($L$4030="F/S",$L$4030="")</formula>
    </cfRule>
    <cfRule type="cellIs" dxfId="2078" priority="8562" stopIfTrue="1" operator="notEqual">
      <formula>0</formula>
    </cfRule>
  </conditionalFormatting>
  <conditionalFormatting sqref="O4030">
    <cfRule type="expression" dxfId="2077" priority="8563" stopIfTrue="1">
      <formula>OR($O$4030="F/S",$O$4030="")</formula>
    </cfRule>
    <cfRule type="cellIs" dxfId="2076" priority="8564" stopIfTrue="1" operator="notEqual">
      <formula>0</formula>
    </cfRule>
  </conditionalFormatting>
  <conditionalFormatting sqref="L4040">
    <cfRule type="expression" dxfId="2075" priority="8565" stopIfTrue="1">
      <formula>OR($L$4040="F/S",$L$4040="")</formula>
    </cfRule>
    <cfRule type="cellIs" dxfId="2074" priority="8566" stopIfTrue="1" operator="notEqual">
      <formula>0</formula>
    </cfRule>
  </conditionalFormatting>
  <conditionalFormatting sqref="O4040">
    <cfRule type="expression" dxfId="2073" priority="8567" stopIfTrue="1">
      <formula>OR($O$4040="F/S",$O$4040="")</formula>
    </cfRule>
    <cfRule type="cellIs" dxfId="2072" priority="8568" stopIfTrue="1" operator="notEqual">
      <formula>0</formula>
    </cfRule>
  </conditionalFormatting>
  <conditionalFormatting sqref="L4051">
    <cfRule type="expression" dxfId="2071" priority="8569" stopIfTrue="1">
      <formula>OR($L$4051="F/S",$L$4051="")</formula>
    </cfRule>
    <cfRule type="cellIs" dxfId="2070" priority="8570" stopIfTrue="1" operator="notEqual">
      <formula>0</formula>
    </cfRule>
  </conditionalFormatting>
  <conditionalFormatting sqref="O4051">
    <cfRule type="expression" dxfId="2069" priority="8571" stopIfTrue="1">
      <formula>OR($O$4051="F/S",$O$4051="")</formula>
    </cfRule>
    <cfRule type="cellIs" dxfId="2068" priority="8572" stopIfTrue="1" operator="notEqual">
      <formula>0</formula>
    </cfRule>
  </conditionalFormatting>
  <conditionalFormatting sqref="L4061">
    <cfRule type="expression" dxfId="2067" priority="8573" stopIfTrue="1">
      <formula>OR($L$4061="F/S",$L$4061="")</formula>
    </cfRule>
    <cfRule type="cellIs" dxfId="2066" priority="8574" stopIfTrue="1" operator="notEqual">
      <formula>0</formula>
    </cfRule>
  </conditionalFormatting>
  <conditionalFormatting sqref="O4061">
    <cfRule type="expression" dxfId="2065" priority="8575" stopIfTrue="1">
      <formula>OR($O$4061="F/S",$O$4061="")</formula>
    </cfRule>
    <cfRule type="cellIs" dxfId="2064" priority="8576" stopIfTrue="1" operator="notEqual">
      <formula>0</formula>
    </cfRule>
  </conditionalFormatting>
  <conditionalFormatting sqref="L4074">
    <cfRule type="expression" dxfId="2063" priority="8577" stopIfTrue="1">
      <formula>OR($L$4074="F/S",$L$4074="")</formula>
    </cfRule>
    <cfRule type="cellIs" dxfId="2062" priority="8578" stopIfTrue="1" operator="notEqual">
      <formula>0</formula>
    </cfRule>
  </conditionalFormatting>
  <conditionalFormatting sqref="O4074">
    <cfRule type="expression" dxfId="2061" priority="8579" stopIfTrue="1">
      <formula>OR($O$4074="F/S",$O$4074="")</formula>
    </cfRule>
    <cfRule type="cellIs" dxfId="2060" priority="8580" stopIfTrue="1" operator="notEqual">
      <formula>0</formula>
    </cfRule>
  </conditionalFormatting>
  <conditionalFormatting sqref="L4084">
    <cfRule type="expression" dxfId="2059" priority="8581" stopIfTrue="1">
      <formula>OR($L$4084="F/S",$L$4084="")</formula>
    </cfRule>
    <cfRule type="cellIs" dxfId="2058" priority="8582" stopIfTrue="1" operator="notEqual">
      <formula>0</formula>
    </cfRule>
  </conditionalFormatting>
  <conditionalFormatting sqref="O4084">
    <cfRule type="expression" dxfId="2057" priority="8583" stopIfTrue="1">
      <formula>OR($O$4084="F/S",$O$4084="")</formula>
    </cfRule>
    <cfRule type="cellIs" dxfId="2056" priority="8584" stopIfTrue="1" operator="notEqual">
      <formula>0</formula>
    </cfRule>
  </conditionalFormatting>
  <conditionalFormatting sqref="L4107">
    <cfRule type="expression" dxfId="2055" priority="8585" stopIfTrue="1">
      <formula>OR($L$4107="F/S",$L$4107="")</formula>
    </cfRule>
    <cfRule type="cellIs" dxfId="2054" priority="8586" stopIfTrue="1" operator="notEqual">
      <formula>0</formula>
    </cfRule>
  </conditionalFormatting>
  <conditionalFormatting sqref="O4107">
    <cfRule type="expression" dxfId="2053" priority="8587" stopIfTrue="1">
      <formula>OR($O$4107="F/S",$O$4107="")</formula>
    </cfRule>
    <cfRule type="cellIs" dxfId="2052" priority="8588" stopIfTrue="1" operator="notEqual">
      <formula>0</formula>
    </cfRule>
  </conditionalFormatting>
  <conditionalFormatting sqref="L4118">
    <cfRule type="expression" dxfId="2051" priority="8589" stopIfTrue="1">
      <formula>OR($L$4118="F/S",$L$4118="")</formula>
    </cfRule>
    <cfRule type="cellIs" dxfId="2050" priority="8590" stopIfTrue="1" operator="notEqual">
      <formula>0</formula>
    </cfRule>
  </conditionalFormatting>
  <conditionalFormatting sqref="O4118">
    <cfRule type="expression" dxfId="2049" priority="8591" stopIfTrue="1">
      <formula>OR($O$4118="F/S",$O$4118="")</formula>
    </cfRule>
    <cfRule type="cellIs" dxfId="2048" priority="8592" stopIfTrue="1" operator="notEqual">
      <formula>0</formula>
    </cfRule>
  </conditionalFormatting>
  <conditionalFormatting sqref="L4136">
    <cfRule type="expression" dxfId="2047" priority="8593" stopIfTrue="1">
      <formula>OR($L$4136="F/S",$L$4136="")</formula>
    </cfRule>
    <cfRule type="cellIs" dxfId="2046" priority="8594" stopIfTrue="1" operator="notEqual">
      <formula>0</formula>
    </cfRule>
  </conditionalFormatting>
  <conditionalFormatting sqref="O4136">
    <cfRule type="expression" dxfId="2045" priority="8595" stopIfTrue="1">
      <formula>OR($O$4136="F/S",$O$4136="")</formula>
    </cfRule>
    <cfRule type="cellIs" dxfId="2044" priority="8596" stopIfTrue="1" operator="notEqual">
      <formula>0</formula>
    </cfRule>
  </conditionalFormatting>
  <conditionalFormatting sqref="L4147">
    <cfRule type="expression" dxfId="2043" priority="8597" stopIfTrue="1">
      <formula>OR($L$4147="F/S",$L$4147="")</formula>
    </cfRule>
    <cfRule type="cellIs" dxfId="2042" priority="8598" stopIfTrue="1" operator="notEqual">
      <formula>0</formula>
    </cfRule>
  </conditionalFormatting>
  <conditionalFormatting sqref="O4147">
    <cfRule type="expression" dxfId="2041" priority="8599" stopIfTrue="1">
      <formula>OR($O$4147="F/S",$O$4147="")</formula>
    </cfRule>
    <cfRule type="cellIs" dxfId="2040" priority="8600" stopIfTrue="1" operator="notEqual">
      <formula>0</formula>
    </cfRule>
  </conditionalFormatting>
  <conditionalFormatting sqref="L4157">
    <cfRule type="expression" dxfId="2039" priority="8601" stopIfTrue="1">
      <formula>OR($L$4157="F/S",$L$4157="")</formula>
    </cfRule>
    <cfRule type="cellIs" dxfId="2038" priority="8602" stopIfTrue="1" operator="notEqual">
      <formula>0</formula>
    </cfRule>
  </conditionalFormatting>
  <conditionalFormatting sqref="O4157">
    <cfRule type="expression" dxfId="2037" priority="8603" stopIfTrue="1">
      <formula>OR($O$4157="F/S",$O$4157="")</formula>
    </cfRule>
    <cfRule type="cellIs" dxfId="2036" priority="8604" stopIfTrue="1" operator="notEqual">
      <formula>0</formula>
    </cfRule>
  </conditionalFormatting>
  <conditionalFormatting sqref="L4168">
    <cfRule type="expression" dxfId="2035" priority="8605" stopIfTrue="1">
      <formula>OR($L$4168="F/S",$L$4168="")</formula>
    </cfRule>
    <cfRule type="cellIs" dxfId="2034" priority="8606" stopIfTrue="1" operator="notEqual">
      <formula>0</formula>
    </cfRule>
  </conditionalFormatting>
  <conditionalFormatting sqref="O4168">
    <cfRule type="expression" dxfId="2033" priority="8607" stopIfTrue="1">
      <formula>OR($O$4168="F/S",$O$4168="")</formula>
    </cfRule>
    <cfRule type="cellIs" dxfId="2032" priority="8608" stopIfTrue="1" operator="notEqual">
      <formula>0</formula>
    </cfRule>
  </conditionalFormatting>
  <conditionalFormatting sqref="L4178">
    <cfRule type="expression" dxfId="2031" priority="8609" stopIfTrue="1">
      <formula>OR($L$4178="F/S",$L$4178="")</formula>
    </cfRule>
    <cfRule type="cellIs" dxfId="2030" priority="8610" stopIfTrue="1" operator="notEqual">
      <formula>0</formula>
    </cfRule>
  </conditionalFormatting>
  <conditionalFormatting sqref="O4178">
    <cfRule type="expression" dxfId="2029" priority="8611" stopIfTrue="1">
      <formula>OR($O$4178="F/S",$O$4178="")</formula>
    </cfRule>
    <cfRule type="cellIs" dxfId="2028" priority="8612" stopIfTrue="1" operator="notEqual">
      <formula>0</formula>
    </cfRule>
  </conditionalFormatting>
  <conditionalFormatting sqref="L4198">
    <cfRule type="expression" dxfId="2027" priority="8613" stopIfTrue="1">
      <formula>OR($L$4198="F/S",$L$4198="")</formula>
    </cfRule>
    <cfRule type="cellIs" dxfId="2026" priority="8614" stopIfTrue="1" operator="notEqual">
      <formula>0</formula>
    </cfRule>
  </conditionalFormatting>
  <conditionalFormatting sqref="O4198">
    <cfRule type="expression" dxfId="2025" priority="8615" stopIfTrue="1">
      <formula>OR($O$4198="F/S",$O$4198="")</formula>
    </cfRule>
    <cfRule type="cellIs" dxfId="2024" priority="8616" stopIfTrue="1" operator="notEqual">
      <formula>0</formula>
    </cfRule>
  </conditionalFormatting>
  <conditionalFormatting sqref="L4213">
    <cfRule type="expression" dxfId="2023" priority="8617" stopIfTrue="1">
      <formula>OR($L$4213="F/S",$L$4213="")</formula>
    </cfRule>
    <cfRule type="cellIs" dxfId="2022" priority="8618" stopIfTrue="1" operator="notEqual">
      <formula>0</formula>
    </cfRule>
  </conditionalFormatting>
  <conditionalFormatting sqref="O4213">
    <cfRule type="expression" dxfId="2021" priority="8619" stopIfTrue="1">
      <formula>OR($O$4213="F/S",$O$4213="")</formula>
    </cfRule>
    <cfRule type="cellIs" dxfId="2020" priority="8620" stopIfTrue="1" operator="notEqual">
      <formula>0</formula>
    </cfRule>
  </conditionalFormatting>
  <conditionalFormatting sqref="L4222">
    <cfRule type="expression" dxfId="2019" priority="8629" stopIfTrue="1">
      <formula>OR($L$4222="F/S",$L$4222="")</formula>
    </cfRule>
    <cfRule type="cellIs" dxfId="2018" priority="8630" stopIfTrue="1" operator="notEqual">
      <formula>0</formula>
    </cfRule>
  </conditionalFormatting>
  <conditionalFormatting sqref="O4222">
    <cfRule type="expression" dxfId="2017" priority="8631" stopIfTrue="1">
      <formula>OR($O$4222="F/S",$O$4222="")</formula>
    </cfRule>
    <cfRule type="cellIs" dxfId="2016" priority="8632" stopIfTrue="1" operator="notEqual">
      <formula>0</formula>
    </cfRule>
  </conditionalFormatting>
  <conditionalFormatting sqref="L4233">
    <cfRule type="expression" dxfId="2015" priority="8633" stopIfTrue="1">
      <formula>OR($L$4233="F/S",$L$4233="")</formula>
    </cfRule>
    <cfRule type="cellIs" dxfId="2014" priority="8634" stopIfTrue="1" operator="notEqual">
      <formula>0</formula>
    </cfRule>
  </conditionalFormatting>
  <conditionalFormatting sqref="O4233">
    <cfRule type="expression" dxfId="2013" priority="8635" stopIfTrue="1">
      <formula>OR($O$4233="F/S",$O$4233="")</formula>
    </cfRule>
    <cfRule type="cellIs" dxfId="2012" priority="8636" stopIfTrue="1" operator="notEqual">
      <formula>0</formula>
    </cfRule>
  </conditionalFormatting>
  <conditionalFormatting sqref="L4247">
    <cfRule type="expression" dxfId="2011" priority="8637" stopIfTrue="1">
      <formula>OR($L$4247="F/S",$L$4247="")</formula>
    </cfRule>
    <cfRule type="cellIs" dxfId="2010" priority="8638" stopIfTrue="1" operator="notEqual">
      <formula>0</formula>
    </cfRule>
  </conditionalFormatting>
  <conditionalFormatting sqref="O4247">
    <cfRule type="expression" dxfId="2009" priority="8639" stopIfTrue="1">
      <formula>OR($O$4247="F/S",$O$4247="")</formula>
    </cfRule>
    <cfRule type="cellIs" dxfId="2008" priority="8640" stopIfTrue="1" operator="notEqual">
      <formula>0</formula>
    </cfRule>
  </conditionalFormatting>
  <conditionalFormatting sqref="L4261">
    <cfRule type="expression" dxfId="2007" priority="8641" stopIfTrue="1">
      <formula>OR($L$4261="F/S",$L$4261="")</formula>
    </cfRule>
    <cfRule type="cellIs" dxfId="2006" priority="8642" stopIfTrue="1" operator="notEqual">
      <formula>0</formula>
    </cfRule>
  </conditionalFormatting>
  <conditionalFormatting sqref="O4261">
    <cfRule type="expression" dxfId="2005" priority="8643" stopIfTrue="1">
      <formula>OR($O$4261="F/S",$O$4261="")</formula>
    </cfRule>
    <cfRule type="cellIs" dxfId="2004" priority="8644" stopIfTrue="1" operator="notEqual">
      <formula>0</formula>
    </cfRule>
  </conditionalFormatting>
  <conditionalFormatting sqref="L4269">
    <cfRule type="expression" dxfId="2003" priority="8645" stopIfTrue="1">
      <formula>OR($L$4269="F/S",$L$4269="")</formula>
    </cfRule>
    <cfRule type="cellIs" dxfId="2002" priority="8646" stopIfTrue="1" operator="notEqual">
      <formula>0</formula>
    </cfRule>
  </conditionalFormatting>
  <conditionalFormatting sqref="O4269">
    <cfRule type="expression" dxfId="2001" priority="8647" stopIfTrue="1">
      <formula>OR($O$4269="F/S",$O$4269="")</formula>
    </cfRule>
    <cfRule type="cellIs" dxfId="2000" priority="8648" stopIfTrue="1" operator="notEqual">
      <formula>0</formula>
    </cfRule>
  </conditionalFormatting>
  <conditionalFormatting sqref="L4287 L4297">
    <cfRule type="expression" dxfId="1999" priority="8649" stopIfTrue="1">
      <formula>OR($L$4287="F/S",$L$4287="")</formula>
    </cfRule>
    <cfRule type="cellIs" dxfId="1998" priority="8650" stopIfTrue="1" operator="notEqual">
      <formula>0</formula>
    </cfRule>
  </conditionalFormatting>
  <conditionalFormatting sqref="O4287 O4297">
    <cfRule type="expression" dxfId="1997" priority="8651" stopIfTrue="1">
      <formula>OR($O$4287="F/S",$O$4287="")</formula>
    </cfRule>
    <cfRule type="cellIs" dxfId="1996" priority="8652" stopIfTrue="1" operator="notEqual">
      <formula>0</formula>
    </cfRule>
  </conditionalFormatting>
  <conditionalFormatting sqref="L4297">
    <cfRule type="expression" dxfId="1995" priority="8653" stopIfTrue="1">
      <formula>OR($L$4297="F/S",$L$4297="")</formula>
    </cfRule>
    <cfRule type="cellIs" dxfId="1994" priority="8654" stopIfTrue="1" operator="notEqual">
      <formula>0</formula>
    </cfRule>
  </conditionalFormatting>
  <conditionalFormatting sqref="O4297">
    <cfRule type="expression" dxfId="1993" priority="8655" stopIfTrue="1">
      <formula>OR($O$4297="F/S",$O$4297="")</formula>
    </cfRule>
    <cfRule type="cellIs" dxfId="1992" priority="8656" stopIfTrue="1" operator="notEqual">
      <formula>0</formula>
    </cfRule>
  </conditionalFormatting>
  <conditionalFormatting sqref="L4308">
    <cfRule type="expression" dxfId="1991" priority="8657" stopIfTrue="1">
      <formula>OR($L$4308="F/S",$L$4308="")</formula>
    </cfRule>
    <cfRule type="cellIs" dxfId="1990" priority="8658" stopIfTrue="1" operator="notEqual">
      <formula>0</formula>
    </cfRule>
  </conditionalFormatting>
  <conditionalFormatting sqref="O4308">
    <cfRule type="expression" dxfId="1989" priority="8659" stopIfTrue="1">
      <formula>OR($O$4308="F/S",$O$4308="")</formula>
    </cfRule>
    <cfRule type="cellIs" dxfId="1988" priority="8660" stopIfTrue="1" operator="notEqual">
      <formula>0</formula>
    </cfRule>
  </conditionalFormatting>
  <conditionalFormatting sqref="L4317">
    <cfRule type="expression" dxfId="1987" priority="8661" stopIfTrue="1">
      <formula>OR($L$4317="F/S",$L$4317="")</formula>
    </cfRule>
    <cfRule type="cellIs" dxfId="1986" priority="8662" stopIfTrue="1" operator="notEqual">
      <formula>0</formula>
    </cfRule>
  </conditionalFormatting>
  <conditionalFormatting sqref="O4317">
    <cfRule type="expression" dxfId="1985" priority="8663" stopIfTrue="1">
      <formula>OR($O$4317="F/S",$O$4317="")</formula>
    </cfRule>
    <cfRule type="cellIs" dxfId="1984" priority="8664" stopIfTrue="1" operator="notEqual">
      <formula>0</formula>
    </cfRule>
  </conditionalFormatting>
  <conditionalFormatting sqref="L4351">
    <cfRule type="expression" dxfId="1983" priority="8665" stopIfTrue="1">
      <formula>OR($L$4351="F/S",$L$4351="")</formula>
    </cfRule>
    <cfRule type="cellIs" dxfId="1982" priority="8666" stopIfTrue="1" operator="notEqual">
      <formula>0</formula>
    </cfRule>
  </conditionalFormatting>
  <conditionalFormatting sqref="O4351">
    <cfRule type="expression" dxfId="1981" priority="8667" stopIfTrue="1">
      <formula>OR($O$4351="F/S",$O$4351="")</formula>
    </cfRule>
    <cfRule type="cellIs" dxfId="1980" priority="8668" stopIfTrue="1" operator="notEqual">
      <formula>0</formula>
    </cfRule>
  </conditionalFormatting>
  <conditionalFormatting sqref="L4330">
    <cfRule type="expression" dxfId="1979" priority="8669" stopIfTrue="1">
      <formula>OR($L$4330="F/S",$L$4330="")</formula>
    </cfRule>
    <cfRule type="cellIs" dxfId="1978" priority="8670" stopIfTrue="1" operator="notEqual">
      <formula>0</formula>
    </cfRule>
  </conditionalFormatting>
  <conditionalFormatting sqref="O4330">
    <cfRule type="expression" dxfId="1977" priority="8671" stopIfTrue="1">
      <formula>OR($O$4330="F/S",$O$4330="")</formula>
    </cfRule>
    <cfRule type="cellIs" dxfId="1976" priority="8672" stopIfTrue="1" operator="notEqual">
      <formula>0</formula>
    </cfRule>
  </conditionalFormatting>
  <conditionalFormatting sqref="L4340">
    <cfRule type="expression" dxfId="1975" priority="8673" stopIfTrue="1">
      <formula>OR($L$4340="F/S",$L$4340="")</formula>
    </cfRule>
    <cfRule type="cellIs" dxfId="1974" priority="8674" stopIfTrue="1" operator="notEqual">
      <formula>0</formula>
    </cfRule>
  </conditionalFormatting>
  <conditionalFormatting sqref="O4340">
    <cfRule type="expression" dxfId="1973" priority="8675" stopIfTrue="1">
      <formula>OR($O$4340="F/S",$O$4340="")</formula>
    </cfRule>
    <cfRule type="cellIs" dxfId="1972" priority="8676" stopIfTrue="1" operator="notEqual">
      <formula>0</formula>
    </cfRule>
  </conditionalFormatting>
  <conditionalFormatting sqref="L4424">
    <cfRule type="expression" dxfId="1971" priority="8681" stopIfTrue="1">
      <formula>OR($L$4424="F/S",$L$4424="")</formula>
    </cfRule>
    <cfRule type="cellIs" dxfId="1970" priority="8682" stopIfTrue="1" operator="notEqual">
      <formula>0</formula>
    </cfRule>
  </conditionalFormatting>
  <conditionalFormatting sqref="O4424">
    <cfRule type="expression" dxfId="1969" priority="8683" stopIfTrue="1">
      <formula>OR($O$4424="F/S",$O$4424="")</formula>
    </cfRule>
    <cfRule type="cellIs" dxfId="1968" priority="8684" stopIfTrue="1" operator="notEqual">
      <formula>0</formula>
    </cfRule>
  </conditionalFormatting>
  <conditionalFormatting sqref="L4437">
    <cfRule type="expression" dxfId="1967" priority="8685" stopIfTrue="1">
      <formula>OR($L$4437="F/S",$L$4437="")</formula>
    </cfRule>
    <cfRule type="cellIs" dxfId="1966" priority="8686" stopIfTrue="1" operator="notEqual">
      <formula>0</formula>
    </cfRule>
  </conditionalFormatting>
  <conditionalFormatting sqref="O4437">
    <cfRule type="expression" dxfId="1965" priority="8687" stopIfTrue="1">
      <formula>OR($O$4437="F/S",$O$4437="")</formula>
    </cfRule>
    <cfRule type="cellIs" dxfId="1964" priority="8688" stopIfTrue="1" operator="notEqual">
      <formula>0</formula>
    </cfRule>
  </conditionalFormatting>
  <conditionalFormatting sqref="L4449">
    <cfRule type="expression" dxfId="1963" priority="8689" stopIfTrue="1">
      <formula>OR($L$4449="F/S",$L$4449="")</formula>
    </cfRule>
    <cfRule type="cellIs" dxfId="1962" priority="8690" stopIfTrue="1" operator="notEqual">
      <formula>0</formula>
    </cfRule>
  </conditionalFormatting>
  <conditionalFormatting sqref="O4449">
    <cfRule type="expression" dxfId="1961" priority="8691" stopIfTrue="1">
      <formula>OR($O$4449="F/S",$O$4449="")</formula>
    </cfRule>
    <cfRule type="cellIs" dxfId="1960" priority="8692" stopIfTrue="1" operator="notEqual">
      <formula>0</formula>
    </cfRule>
  </conditionalFormatting>
  <conditionalFormatting sqref="L4457">
    <cfRule type="expression" dxfId="1959" priority="8693" stopIfTrue="1">
      <formula>OR($L$4457="F/S",$L$4457="")</formula>
    </cfRule>
    <cfRule type="cellIs" dxfId="1958" priority="8694" stopIfTrue="1" operator="notEqual">
      <formula>0</formula>
    </cfRule>
  </conditionalFormatting>
  <conditionalFormatting sqref="O4457">
    <cfRule type="expression" dxfId="1957" priority="8695" stopIfTrue="1">
      <formula>OR($O$4457="F/S",$O$4457="")</formula>
    </cfRule>
    <cfRule type="cellIs" dxfId="1956" priority="8696" stopIfTrue="1" operator="notEqual">
      <formula>0</formula>
    </cfRule>
  </conditionalFormatting>
  <conditionalFormatting sqref="L4474">
    <cfRule type="expression" dxfId="1955" priority="8697" stopIfTrue="1">
      <formula>OR($L$4474="F/S",$L$4474="")</formula>
    </cfRule>
    <cfRule type="cellIs" dxfId="1954" priority="8698" stopIfTrue="1" operator="notEqual">
      <formula>0</formula>
    </cfRule>
  </conditionalFormatting>
  <conditionalFormatting sqref="O4474">
    <cfRule type="expression" dxfId="1953" priority="8699" stopIfTrue="1">
      <formula>OR($O$4474="F/S",$O$4474="")</formula>
    </cfRule>
    <cfRule type="cellIs" dxfId="1952" priority="8700" stopIfTrue="1" operator="notEqual">
      <formula>0</formula>
    </cfRule>
  </conditionalFormatting>
  <conditionalFormatting sqref="L4360">
    <cfRule type="expression" dxfId="1951" priority="8701" stopIfTrue="1">
      <formula>OR($L$4360="F/S",$L$4360="")</formula>
    </cfRule>
    <cfRule type="cellIs" dxfId="1950" priority="8702" stopIfTrue="1" operator="notEqual">
      <formula>0</formula>
    </cfRule>
  </conditionalFormatting>
  <conditionalFormatting sqref="O4360">
    <cfRule type="expression" dxfId="1949" priority="8703" stopIfTrue="1">
      <formula>OR($O$4360="F/S",$O$4360="")</formula>
    </cfRule>
    <cfRule type="cellIs" dxfId="1948" priority="8704" stopIfTrue="1" operator="notEqual">
      <formula>0</formula>
    </cfRule>
  </conditionalFormatting>
  <conditionalFormatting sqref="L4367">
    <cfRule type="expression" dxfId="1947" priority="8705" stopIfTrue="1">
      <formula>OR($L$4367="F/S",$L$4367="")</formula>
    </cfRule>
    <cfRule type="cellIs" dxfId="1946" priority="8706" stopIfTrue="1" operator="notEqual">
      <formula>0</formula>
    </cfRule>
  </conditionalFormatting>
  <conditionalFormatting sqref="O4367">
    <cfRule type="expression" dxfId="1945" priority="8707" stopIfTrue="1">
      <formula>OR($O$4367="F/S",$O$4367="")</formula>
    </cfRule>
    <cfRule type="cellIs" dxfId="1944" priority="8708" stopIfTrue="1" operator="notEqual">
      <formula>0</formula>
    </cfRule>
  </conditionalFormatting>
  <conditionalFormatting sqref="L4392">
    <cfRule type="expression" dxfId="1943" priority="8709" stopIfTrue="1">
      <formula>OR($L$4392="F/S",$L$4392="")</formula>
    </cfRule>
    <cfRule type="cellIs" dxfId="1942" priority="8710" stopIfTrue="1" operator="notEqual">
      <formula>0</formula>
    </cfRule>
  </conditionalFormatting>
  <conditionalFormatting sqref="O4392">
    <cfRule type="expression" dxfId="1941" priority="8711" stopIfTrue="1">
      <formula>OR($O$4392="F/S",$O$4392="")</formula>
    </cfRule>
    <cfRule type="cellIs" dxfId="1940" priority="8712" stopIfTrue="1" operator="notEqual">
      <formula>0</formula>
    </cfRule>
  </conditionalFormatting>
  <conditionalFormatting sqref="L4413">
    <cfRule type="expression" dxfId="1939" priority="8713" stopIfTrue="1">
      <formula>OR($L$4413="F/S",$L$4413="")</formula>
    </cfRule>
    <cfRule type="cellIs" dxfId="1938" priority="8714" stopIfTrue="1" operator="notEqual">
      <formula>0</formula>
    </cfRule>
  </conditionalFormatting>
  <conditionalFormatting sqref="O4413">
    <cfRule type="expression" dxfId="1937" priority="8715" stopIfTrue="1">
      <formula>OR($O$4413="F/S",$O$4413="")</formula>
    </cfRule>
    <cfRule type="cellIs" dxfId="1936" priority="8716" stopIfTrue="1" operator="notEqual">
      <formula>0</formula>
    </cfRule>
  </conditionalFormatting>
  <conditionalFormatting sqref="L4612">
    <cfRule type="expression" dxfId="1935" priority="8717" stopIfTrue="1">
      <formula>OR($L$4612="F/S",$L$4612="")</formula>
    </cfRule>
    <cfRule type="cellIs" dxfId="1934" priority="8718" stopIfTrue="1" operator="notEqual">
      <formula>0</formula>
    </cfRule>
  </conditionalFormatting>
  <conditionalFormatting sqref="O4612">
    <cfRule type="expression" dxfId="1933" priority="8719" stopIfTrue="1">
      <formula>OR($O$4612="F/S",$O$4612="")</formula>
    </cfRule>
    <cfRule type="cellIs" dxfId="1932" priority="8720" stopIfTrue="1" operator="notEqual">
      <formula>0</formula>
    </cfRule>
  </conditionalFormatting>
  <conditionalFormatting sqref="L4488">
    <cfRule type="expression" dxfId="1931" priority="8721" stopIfTrue="1">
      <formula>OR($L$4488="F/S",$L$4488="")</formula>
    </cfRule>
    <cfRule type="cellIs" dxfId="1930" priority="8722" stopIfTrue="1" operator="notEqual">
      <formula>0</formula>
    </cfRule>
  </conditionalFormatting>
  <conditionalFormatting sqref="O4488">
    <cfRule type="expression" dxfId="1929" priority="8723" stopIfTrue="1">
      <formula>OR($O$4488="F/S",$O$4488="")</formula>
    </cfRule>
    <cfRule type="cellIs" dxfId="1928" priority="8724" stopIfTrue="1" operator="notEqual">
      <formula>0</formula>
    </cfRule>
  </conditionalFormatting>
  <conditionalFormatting sqref="L4498">
    <cfRule type="expression" dxfId="1927" priority="8725" stopIfTrue="1">
      <formula>OR($L$4498="F/S",$L$4498="")</formula>
    </cfRule>
    <cfRule type="cellIs" dxfId="1926" priority="8726" stopIfTrue="1" operator="notEqual">
      <formula>0</formula>
    </cfRule>
  </conditionalFormatting>
  <conditionalFormatting sqref="O4498">
    <cfRule type="expression" dxfId="1925" priority="8727" stopIfTrue="1">
      <formula>OR($O$4498="F/S",$O$4498="")</formula>
    </cfRule>
    <cfRule type="cellIs" dxfId="1924" priority="8728" stopIfTrue="1" operator="notEqual">
      <formula>0</formula>
    </cfRule>
  </conditionalFormatting>
  <conditionalFormatting sqref="L4507">
    <cfRule type="expression" dxfId="1923" priority="8729" stopIfTrue="1">
      <formula>OR($L$4507="F/S",$L$4507="")</formula>
    </cfRule>
    <cfRule type="cellIs" dxfId="1922" priority="8730" stopIfTrue="1" operator="notEqual">
      <formula>0</formula>
    </cfRule>
  </conditionalFormatting>
  <conditionalFormatting sqref="O4507">
    <cfRule type="expression" dxfId="1921" priority="8731" stopIfTrue="1">
      <formula>OR($O$4507="F/S",$O$4507="")</formula>
    </cfRule>
    <cfRule type="cellIs" dxfId="1920" priority="8732" stopIfTrue="1" operator="notEqual">
      <formula>0</formula>
    </cfRule>
  </conditionalFormatting>
  <conditionalFormatting sqref="L4516">
    <cfRule type="expression" dxfId="1919" priority="8733" stopIfTrue="1">
      <formula>OR($L$4516="F/S",$L$4516="")</formula>
    </cfRule>
    <cfRule type="cellIs" dxfId="1918" priority="8734" stopIfTrue="1" operator="notEqual">
      <formula>0</formula>
    </cfRule>
  </conditionalFormatting>
  <conditionalFormatting sqref="O4516">
    <cfRule type="expression" dxfId="1917" priority="8735" stopIfTrue="1">
      <formula>OR($O$4516="F/S",$O$4516="")</formula>
    </cfRule>
    <cfRule type="cellIs" dxfId="1916" priority="8736" stopIfTrue="1" operator="notEqual">
      <formula>0</formula>
    </cfRule>
  </conditionalFormatting>
  <conditionalFormatting sqref="L4540">
    <cfRule type="expression" dxfId="1915" priority="8737" stopIfTrue="1">
      <formula>OR($L$4540="F/S",$L$4540="")</formula>
    </cfRule>
    <cfRule type="cellIs" dxfId="1914" priority="8738" stopIfTrue="1" operator="notEqual">
      <formula>0</formula>
    </cfRule>
  </conditionalFormatting>
  <conditionalFormatting sqref="O4540">
    <cfRule type="expression" dxfId="1913" priority="8739" stopIfTrue="1">
      <formula>OR($O$4540="F/S",$O$4540="")</formula>
    </cfRule>
    <cfRule type="cellIs" dxfId="1912" priority="8740" stopIfTrue="1" operator="notEqual">
      <formula>0</formula>
    </cfRule>
  </conditionalFormatting>
  <conditionalFormatting sqref="L4563">
    <cfRule type="expression" dxfId="1911" priority="8741" stopIfTrue="1">
      <formula>OR($L$4563="F/S",$L$4563="")</formula>
    </cfRule>
    <cfRule type="cellIs" dxfId="1910" priority="8742" stopIfTrue="1" operator="notEqual">
      <formula>0</formula>
    </cfRule>
  </conditionalFormatting>
  <conditionalFormatting sqref="O4563">
    <cfRule type="expression" dxfId="1909" priority="8743" stopIfTrue="1">
      <formula>OR($O$4563="F/S",$O$4563="")</formula>
    </cfRule>
    <cfRule type="cellIs" dxfId="1908" priority="8744" stopIfTrue="1" operator="notEqual">
      <formula>0</formula>
    </cfRule>
  </conditionalFormatting>
  <conditionalFormatting sqref="L4582">
    <cfRule type="expression" dxfId="1907" priority="8745" stopIfTrue="1">
      <formula>OR($L$4582="F/S",$L$4582="")</formula>
    </cfRule>
    <cfRule type="cellIs" dxfId="1906" priority="8746" stopIfTrue="1" operator="notEqual">
      <formula>0</formula>
    </cfRule>
  </conditionalFormatting>
  <conditionalFormatting sqref="O4582">
    <cfRule type="expression" dxfId="1905" priority="8747" stopIfTrue="1">
      <formula>OR($O$4582="F/S",$O$4582="")</formula>
    </cfRule>
    <cfRule type="cellIs" dxfId="1904" priority="8748" stopIfTrue="1" operator="notEqual">
      <formula>0</formula>
    </cfRule>
  </conditionalFormatting>
  <conditionalFormatting sqref="L4597">
    <cfRule type="expression" dxfId="1903" priority="8749" stopIfTrue="1">
      <formula>OR($L$4597="F/S",$L$4597="")</formula>
    </cfRule>
    <cfRule type="cellIs" dxfId="1902" priority="8750" stopIfTrue="1" operator="notEqual">
      <formula>0</formula>
    </cfRule>
  </conditionalFormatting>
  <conditionalFormatting sqref="O4597">
    <cfRule type="expression" dxfId="1901" priority="8751" stopIfTrue="1">
      <formula>OR($O$4597="F/S",$O$4597="")</formula>
    </cfRule>
    <cfRule type="cellIs" dxfId="1900" priority="8752" stopIfTrue="1" operator="notEqual">
      <formula>0</formula>
    </cfRule>
  </conditionalFormatting>
  <conditionalFormatting sqref="L4848">
    <cfRule type="expression" dxfId="1899" priority="8753" stopIfTrue="1">
      <formula>OR($L$4848="F/S",$L$4848="")</formula>
    </cfRule>
    <cfRule type="cellIs" dxfId="1898" priority="8754" stopIfTrue="1" operator="notEqual">
      <formula>0</formula>
    </cfRule>
  </conditionalFormatting>
  <conditionalFormatting sqref="O4848">
    <cfRule type="expression" dxfId="1897" priority="8755" stopIfTrue="1">
      <formula>OR($O$4848="F/S",$O$4848="")</formula>
    </cfRule>
    <cfRule type="cellIs" dxfId="1896" priority="8756" stopIfTrue="1" operator="notEqual">
      <formula>0</formula>
    </cfRule>
  </conditionalFormatting>
  <conditionalFormatting sqref="L4821">
    <cfRule type="expression" dxfId="1895" priority="8757" stopIfTrue="1">
      <formula>OR($L$4821="F/S",$L$4821="")</formula>
    </cfRule>
    <cfRule type="cellIs" dxfId="1894" priority="8758" stopIfTrue="1" operator="notEqual">
      <formula>0</formula>
    </cfRule>
  </conditionalFormatting>
  <conditionalFormatting sqref="O4821">
    <cfRule type="expression" dxfId="1893" priority="8759" stopIfTrue="1">
      <formula>OR($O$4821="F/S",$O$4821="")</formula>
    </cfRule>
    <cfRule type="cellIs" dxfId="1892" priority="8760" stopIfTrue="1" operator="notEqual">
      <formula>0</formula>
    </cfRule>
  </conditionalFormatting>
  <conditionalFormatting sqref="L4799">
    <cfRule type="expression" dxfId="1891" priority="8761" stopIfTrue="1">
      <formula>OR($L$4799="F/S",$L$4799="")</formula>
    </cfRule>
    <cfRule type="cellIs" dxfId="1890" priority="8762" stopIfTrue="1" operator="notEqual">
      <formula>0</formula>
    </cfRule>
  </conditionalFormatting>
  <conditionalFormatting sqref="O4799">
    <cfRule type="expression" dxfId="1889" priority="8763" stopIfTrue="1">
      <formula>OR($O$4799="F/S",$O$4799="")</formula>
    </cfRule>
    <cfRule type="cellIs" dxfId="1888" priority="8764" stopIfTrue="1" operator="notEqual">
      <formula>0</formula>
    </cfRule>
  </conditionalFormatting>
  <conditionalFormatting sqref="L4898">
    <cfRule type="expression" dxfId="1887" priority="8765" stopIfTrue="1">
      <formula>OR($L$4898="F/S",$L$4898="")</formula>
    </cfRule>
    <cfRule type="cellIs" dxfId="1886" priority="8766" stopIfTrue="1" operator="notEqual">
      <formula>0</formula>
    </cfRule>
  </conditionalFormatting>
  <conditionalFormatting sqref="O4898">
    <cfRule type="expression" dxfId="1885" priority="8767" stopIfTrue="1">
      <formula>OR($O$4898="F/S",$O$4898="")</formula>
    </cfRule>
    <cfRule type="cellIs" dxfId="1884" priority="8768" stopIfTrue="1" operator="notEqual">
      <formula>0</formula>
    </cfRule>
  </conditionalFormatting>
  <conditionalFormatting sqref="L4776">
    <cfRule type="expression" dxfId="1883" priority="8769" stopIfTrue="1">
      <formula>OR($L$4776="F/S",$L$4776="")</formula>
    </cfRule>
    <cfRule type="cellIs" dxfId="1882" priority="8770" stopIfTrue="1" operator="notEqual">
      <formula>0</formula>
    </cfRule>
  </conditionalFormatting>
  <conditionalFormatting sqref="O4776">
    <cfRule type="expression" dxfId="1881" priority="8771" stopIfTrue="1">
      <formula>OR($O$4776="F/S",$O$4776="")</formula>
    </cfRule>
    <cfRule type="cellIs" dxfId="1880" priority="8772" stopIfTrue="1" operator="notEqual">
      <formula>0</formula>
    </cfRule>
  </conditionalFormatting>
  <conditionalFormatting sqref="L4622">
    <cfRule type="expression" dxfId="1879" priority="8773" stopIfTrue="1">
      <formula>OR($L$4622="F/S",$L$4622="")</formula>
    </cfRule>
    <cfRule type="cellIs" dxfId="1878" priority="8774" stopIfTrue="1" operator="notEqual">
      <formula>0</formula>
    </cfRule>
  </conditionalFormatting>
  <conditionalFormatting sqref="O4622">
    <cfRule type="expression" dxfId="1877" priority="8775" stopIfTrue="1">
      <formula>OR($O$4622="F/S",$O$4622="")</formula>
    </cfRule>
    <cfRule type="cellIs" dxfId="1876" priority="8776" stopIfTrue="1" operator="notEqual">
      <formula>0</formula>
    </cfRule>
  </conditionalFormatting>
  <conditionalFormatting sqref="L4633">
    <cfRule type="expression" dxfId="1875" priority="8777" stopIfTrue="1">
      <formula>OR($L$4633="F/S",$L$4633="")</formula>
    </cfRule>
    <cfRule type="cellIs" dxfId="1874" priority="8778" stopIfTrue="1" operator="notEqual">
      <formula>0</formula>
    </cfRule>
  </conditionalFormatting>
  <conditionalFormatting sqref="O4633">
    <cfRule type="expression" dxfId="1873" priority="8779" stopIfTrue="1">
      <formula>OR($O$4633="F/S",$O$4633="")</formula>
    </cfRule>
    <cfRule type="cellIs" dxfId="1872" priority="8780" stopIfTrue="1" operator="notEqual">
      <formula>0</formula>
    </cfRule>
  </conditionalFormatting>
  <conditionalFormatting sqref="L4652">
    <cfRule type="expression" dxfId="1871" priority="8781" stopIfTrue="1">
      <formula>OR($L$4652="F/S",$L$4652="")</formula>
    </cfRule>
    <cfRule type="cellIs" dxfId="1870" priority="8782" stopIfTrue="1" operator="notEqual">
      <formula>0</formula>
    </cfRule>
  </conditionalFormatting>
  <conditionalFormatting sqref="O4652">
    <cfRule type="expression" dxfId="1869" priority="8783" stopIfTrue="1">
      <formula>OR($O$4652="F/S",$O$4652="")</formula>
    </cfRule>
    <cfRule type="cellIs" dxfId="1868" priority="8784" stopIfTrue="1" operator="notEqual">
      <formula>0</formula>
    </cfRule>
  </conditionalFormatting>
  <conditionalFormatting sqref="L4663">
    <cfRule type="expression" dxfId="1867" priority="8785" stopIfTrue="1">
      <formula>OR($L$4663="F/S",$L$4663="")</formula>
    </cfRule>
    <cfRule type="cellIs" dxfId="1866" priority="8786" stopIfTrue="1" operator="notEqual">
      <formula>0</formula>
    </cfRule>
  </conditionalFormatting>
  <conditionalFormatting sqref="O4663">
    <cfRule type="expression" dxfId="1865" priority="8787" stopIfTrue="1">
      <formula>OR($O$4663="F/S",$O$4663="")</formula>
    </cfRule>
    <cfRule type="cellIs" dxfId="1864" priority="8788" stopIfTrue="1" operator="notEqual">
      <formula>0</formula>
    </cfRule>
  </conditionalFormatting>
  <conditionalFormatting sqref="L4683">
    <cfRule type="expression" dxfId="1863" priority="8789" stopIfTrue="1">
      <formula>OR($L$4683="F/S",$L$4683="")</formula>
    </cfRule>
    <cfRule type="cellIs" dxfId="1862" priority="8790" stopIfTrue="1" operator="notEqual">
      <formula>0</formula>
    </cfRule>
  </conditionalFormatting>
  <conditionalFormatting sqref="O4683">
    <cfRule type="expression" dxfId="1861" priority="8791" stopIfTrue="1">
      <formula>OR($O$4683="F/S",$O$4683="")</formula>
    </cfRule>
    <cfRule type="cellIs" dxfId="1860" priority="8792" stopIfTrue="1" operator="notEqual">
      <formula>0</formula>
    </cfRule>
  </conditionalFormatting>
  <conditionalFormatting sqref="L4694">
    <cfRule type="expression" dxfId="1859" priority="8793" stopIfTrue="1">
      <formula>OR($L$4694="F/S",$L$4694="")</formula>
    </cfRule>
    <cfRule type="cellIs" dxfId="1858" priority="8794" stopIfTrue="1" operator="notEqual">
      <formula>0</formula>
    </cfRule>
  </conditionalFormatting>
  <conditionalFormatting sqref="O4694">
    <cfRule type="expression" dxfId="1857" priority="8795" stopIfTrue="1">
      <formula>OR($O$4694="F/S",$O$4694="")</formula>
    </cfRule>
    <cfRule type="cellIs" dxfId="1856" priority="8796" stopIfTrue="1" operator="notEqual">
      <formula>0</formula>
    </cfRule>
  </conditionalFormatting>
  <conditionalFormatting sqref="L4714">
    <cfRule type="expression" dxfId="1855" priority="8797" stopIfTrue="1">
      <formula>OR($L$4714="F/S",$L$4714="")</formula>
    </cfRule>
    <cfRule type="cellIs" dxfId="1854" priority="8798" stopIfTrue="1" operator="notEqual">
      <formula>0</formula>
    </cfRule>
  </conditionalFormatting>
  <conditionalFormatting sqref="O4714">
    <cfRule type="expression" dxfId="1853" priority="8799" stopIfTrue="1">
      <formula>OR($O$4714="F/S",$O$4714="")</formula>
    </cfRule>
    <cfRule type="cellIs" dxfId="1852" priority="8800" stopIfTrue="1" operator="notEqual">
      <formula>0</formula>
    </cfRule>
  </conditionalFormatting>
  <conditionalFormatting sqref="L4750">
    <cfRule type="expression" dxfId="1851" priority="8801" stopIfTrue="1">
      <formula>OR($L$4750="F/S",$L$4750="")</formula>
    </cfRule>
    <cfRule type="cellIs" dxfId="1850" priority="8802" stopIfTrue="1" operator="notEqual">
      <formula>0</formula>
    </cfRule>
  </conditionalFormatting>
  <conditionalFormatting sqref="O4750">
    <cfRule type="expression" dxfId="1849" priority="8803" stopIfTrue="1">
      <formula>OR($O$4750="F/S",$O$4750="")</formula>
    </cfRule>
    <cfRule type="cellIs" dxfId="1848" priority="8804" stopIfTrue="1" operator="notEqual">
      <formula>0</formula>
    </cfRule>
  </conditionalFormatting>
  <conditionalFormatting sqref="L4765">
    <cfRule type="expression" dxfId="1847" priority="8805" stopIfTrue="1">
      <formula>OR($L$4765="F/S",$L$4765="")</formula>
    </cfRule>
    <cfRule type="cellIs" dxfId="1846" priority="8806" stopIfTrue="1" operator="notEqual">
      <formula>0</formula>
    </cfRule>
  </conditionalFormatting>
  <conditionalFormatting sqref="O4765">
    <cfRule type="expression" dxfId="1845" priority="8807" stopIfTrue="1">
      <formula>OR($O$4765="F/S",$O$4765="")</formula>
    </cfRule>
    <cfRule type="cellIs" dxfId="1844" priority="8808" stopIfTrue="1" operator="notEqual">
      <formula>0</formula>
    </cfRule>
  </conditionalFormatting>
  <conditionalFormatting sqref="L4725">
    <cfRule type="expression" dxfId="1843" priority="8809" stopIfTrue="1">
      <formula>OR($L$4725="F/S",$L$4725="")</formula>
    </cfRule>
    <cfRule type="cellIs" dxfId="1842" priority="8810" stopIfTrue="1" operator="notEqual">
      <formula>0</formula>
    </cfRule>
  </conditionalFormatting>
  <conditionalFormatting sqref="O4725">
    <cfRule type="expression" dxfId="1841" priority="8811" stopIfTrue="1">
      <formula>OR($O$4725="F/S",$O$4725="")</formula>
    </cfRule>
    <cfRule type="cellIs" dxfId="1840" priority="8812" stopIfTrue="1" operator="notEqual">
      <formula>0</formula>
    </cfRule>
  </conditionalFormatting>
  <conditionalFormatting sqref="L4876">
    <cfRule type="expression" dxfId="1839" priority="8813" stopIfTrue="1">
      <formula>OR($L$4876="F/S",$L$4876="")</formula>
    </cfRule>
    <cfRule type="cellIs" dxfId="1838" priority="8814" stopIfTrue="1" operator="notEqual">
      <formula>0</formula>
    </cfRule>
  </conditionalFormatting>
  <conditionalFormatting sqref="O4876">
    <cfRule type="expression" dxfId="1837" priority="8815" stopIfTrue="1">
      <formula>OR($O$4876="F/S",$O$4876="")</formula>
    </cfRule>
    <cfRule type="cellIs" dxfId="1836" priority="8816" stopIfTrue="1" operator="notEqual">
      <formula>0</formula>
    </cfRule>
  </conditionalFormatting>
  <conditionalFormatting sqref="L4862">
    <cfRule type="expression" dxfId="1835" priority="8817" stopIfTrue="1">
      <formula>OR($L$4862="F/S",$L$4862="")</formula>
    </cfRule>
    <cfRule type="cellIs" dxfId="1834" priority="8818" stopIfTrue="1" operator="notEqual">
      <formula>0</formula>
    </cfRule>
  </conditionalFormatting>
  <conditionalFormatting sqref="O4862">
    <cfRule type="expression" dxfId="1833" priority="8819" stopIfTrue="1">
      <formula>OR($O$4862="F/S",$O$4862="")</formula>
    </cfRule>
    <cfRule type="cellIs" dxfId="1832" priority="8820" stopIfTrue="1" operator="notEqual">
      <formula>0</formula>
    </cfRule>
  </conditionalFormatting>
  <conditionalFormatting sqref="L4913">
    <cfRule type="expression" dxfId="1831" priority="8821" stopIfTrue="1">
      <formula>OR($L$4913="F/S",$L$4913="")</formula>
    </cfRule>
    <cfRule type="cellIs" dxfId="1830" priority="8822" stopIfTrue="1" operator="notEqual">
      <formula>0</formula>
    </cfRule>
  </conditionalFormatting>
  <conditionalFormatting sqref="O4913">
    <cfRule type="expression" dxfId="1829" priority="8823" stopIfTrue="1">
      <formula>OR($O$4913="F/S",$O$4913="")</formula>
    </cfRule>
    <cfRule type="cellIs" dxfId="1828" priority="8824" stopIfTrue="1" operator="notEqual">
      <formula>0</formula>
    </cfRule>
  </conditionalFormatting>
  <conditionalFormatting sqref="L4926">
    <cfRule type="expression" dxfId="1827" priority="8825" stopIfTrue="1">
      <formula>OR($L$4926="F/S",$L$4926="")</formula>
    </cfRule>
    <cfRule type="cellIs" dxfId="1826" priority="8826" stopIfTrue="1" operator="notEqual">
      <formula>0</formula>
    </cfRule>
  </conditionalFormatting>
  <conditionalFormatting sqref="O4926">
    <cfRule type="expression" dxfId="1825" priority="8827" stopIfTrue="1">
      <formula>OR($O$4926="F/S",$O$4926="")</formula>
    </cfRule>
    <cfRule type="cellIs" dxfId="1824" priority="8828" stopIfTrue="1" operator="notEqual">
      <formula>0</formula>
    </cfRule>
  </conditionalFormatting>
  <conditionalFormatting sqref="L4944">
    <cfRule type="expression" dxfId="1823" priority="8829" stopIfTrue="1">
      <formula>OR($L$4944="F/S",$L$4944="")</formula>
    </cfRule>
    <cfRule type="cellIs" dxfId="1822" priority="8830" stopIfTrue="1" operator="notEqual">
      <formula>0</formula>
    </cfRule>
  </conditionalFormatting>
  <conditionalFormatting sqref="O4944">
    <cfRule type="expression" dxfId="1821" priority="8831" stopIfTrue="1">
      <formula>OR($O$4944="F/S",$O$4944="")</formula>
    </cfRule>
    <cfRule type="cellIs" dxfId="1820" priority="8832" stopIfTrue="1" operator="notEqual">
      <formula>0</formula>
    </cfRule>
  </conditionalFormatting>
  <conditionalFormatting sqref="L4957">
    <cfRule type="expression" dxfId="1819" priority="8833" stopIfTrue="1">
      <formula>OR($L$4957="F/S",$L$4957="")</formula>
    </cfRule>
    <cfRule type="cellIs" dxfId="1818" priority="8834" stopIfTrue="1" operator="notEqual">
      <formula>0</formula>
    </cfRule>
  </conditionalFormatting>
  <conditionalFormatting sqref="O4957">
    <cfRule type="expression" dxfId="1817" priority="8835" stopIfTrue="1">
      <formula>OR($O$4957="F/S",$O$4957="")</formula>
    </cfRule>
    <cfRule type="cellIs" dxfId="1816" priority="8836" stopIfTrue="1" operator="notEqual">
      <formula>0</formula>
    </cfRule>
  </conditionalFormatting>
  <conditionalFormatting sqref="L4965">
    <cfRule type="expression" dxfId="1815" priority="8837" stopIfTrue="1">
      <formula>OR($L$4965="F/S",$L$4965="")</formula>
    </cfRule>
    <cfRule type="cellIs" dxfId="1814" priority="8838" stopIfTrue="1" operator="notEqual">
      <formula>0</formula>
    </cfRule>
  </conditionalFormatting>
  <conditionalFormatting sqref="O4965">
    <cfRule type="expression" dxfId="1813" priority="8839" stopIfTrue="1">
      <formula>OR($O$4965="F/S",$O$4965="")</formula>
    </cfRule>
    <cfRule type="cellIs" dxfId="1812" priority="8840" stopIfTrue="1" operator="notEqual">
      <formula>0</formula>
    </cfRule>
  </conditionalFormatting>
  <conditionalFormatting sqref="L5868">
    <cfRule type="expression" dxfId="1811" priority="8841" stopIfTrue="1">
      <formula>OR($L$5868="F/S",$L$5868="")</formula>
    </cfRule>
    <cfRule type="cellIs" dxfId="1810" priority="8842" stopIfTrue="1" operator="notEqual">
      <formula>0</formula>
    </cfRule>
  </conditionalFormatting>
  <conditionalFormatting sqref="O5868">
    <cfRule type="expression" dxfId="1809" priority="8843" stopIfTrue="1">
      <formula>OR($O$5868="F/S",$O$5868="")</formula>
    </cfRule>
    <cfRule type="cellIs" dxfId="1808" priority="8844" stopIfTrue="1" operator="notEqual">
      <formula>0</formula>
    </cfRule>
  </conditionalFormatting>
  <conditionalFormatting sqref="L5020">
    <cfRule type="expression" dxfId="1807" priority="8845" stopIfTrue="1">
      <formula>OR($L$5020="F/S",$L$5020="")</formula>
    </cfRule>
    <cfRule type="cellIs" dxfId="1806" priority="8846" stopIfTrue="1" operator="notEqual">
      <formula>0</formula>
    </cfRule>
  </conditionalFormatting>
  <conditionalFormatting sqref="O5020">
    <cfRule type="expression" dxfId="1805" priority="8847" stopIfTrue="1">
      <formula>OR($O$5020="F/S",$O$5020="")</formula>
    </cfRule>
    <cfRule type="cellIs" dxfId="1804" priority="8848" stopIfTrue="1" operator="notEqual">
      <formula>0</formula>
    </cfRule>
  </conditionalFormatting>
  <conditionalFormatting sqref="L5879">
    <cfRule type="expression" dxfId="1803" priority="8849" stopIfTrue="1">
      <formula>OR($L$5879="F/S",$L$5879="")</formula>
    </cfRule>
    <cfRule type="cellIs" dxfId="1802" priority="8850" stopIfTrue="1" operator="notEqual">
      <formula>0</formula>
    </cfRule>
  </conditionalFormatting>
  <conditionalFormatting sqref="O5879">
    <cfRule type="expression" dxfId="1801" priority="8851" stopIfTrue="1">
      <formula>OR($O$5879="F/S",$O$5879="")</formula>
    </cfRule>
    <cfRule type="cellIs" dxfId="1800" priority="8852" stopIfTrue="1" operator="notEqual">
      <formula>0</formula>
    </cfRule>
  </conditionalFormatting>
  <conditionalFormatting sqref="L5890">
    <cfRule type="expression" dxfId="1799" priority="8853" stopIfTrue="1">
      <formula>OR($L$5890="F/S",$L$5890="")</formula>
    </cfRule>
    <cfRule type="cellIs" dxfId="1798" priority="8854" stopIfTrue="1" operator="notEqual">
      <formula>0</formula>
    </cfRule>
  </conditionalFormatting>
  <conditionalFormatting sqref="O5890">
    <cfRule type="expression" dxfId="1797" priority="8855" stopIfTrue="1">
      <formula>OR($O$5890="F/S",$O$5890="")</formula>
    </cfRule>
    <cfRule type="cellIs" dxfId="1796" priority="8856" stopIfTrue="1" operator="notEqual">
      <formula>0</formula>
    </cfRule>
  </conditionalFormatting>
  <conditionalFormatting sqref="L5901">
    <cfRule type="expression" dxfId="1795" priority="8857" stopIfTrue="1">
      <formula>OR($L$5901="F/S",$L$5901="")</formula>
    </cfRule>
    <cfRule type="cellIs" dxfId="1794" priority="8858" stopIfTrue="1" operator="notEqual">
      <formula>0</formula>
    </cfRule>
  </conditionalFormatting>
  <conditionalFormatting sqref="O5901">
    <cfRule type="expression" dxfId="1793" priority="8859" stopIfTrue="1">
      <formula>OR($O$5901="F/S",$O$5901="")</formula>
    </cfRule>
    <cfRule type="cellIs" dxfId="1792" priority="8860" stopIfTrue="1" operator="notEqual">
      <formula>0</formula>
    </cfRule>
  </conditionalFormatting>
  <conditionalFormatting sqref="L5912">
    <cfRule type="expression" dxfId="1791" priority="8861" stopIfTrue="1">
      <formula>OR($L$5912="F/S",$L$5912="")</formula>
    </cfRule>
    <cfRule type="cellIs" dxfId="1790" priority="8862" stopIfTrue="1" operator="notEqual">
      <formula>0</formula>
    </cfRule>
  </conditionalFormatting>
  <conditionalFormatting sqref="O5912">
    <cfRule type="expression" dxfId="1789" priority="8863" stopIfTrue="1">
      <formula>OR($O$5912="F/S",$O$5912="")</formula>
    </cfRule>
    <cfRule type="cellIs" dxfId="1788" priority="8864" stopIfTrue="1" operator="notEqual">
      <formula>0</formula>
    </cfRule>
  </conditionalFormatting>
  <conditionalFormatting sqref="L5036">
    <cfRule type="expression" dxfId="1787" priority="8865" stopIfTrue="1">
      <formula>OR($L$5036="F/S",$L$5036="")</formula>
    </cfRule>
    <cfRule type="cellIs" dxfId="1786" priority="8866" stopIfTrue="1" operator="notEqual">
      <formula>0</formula>
    </cfRule>
  </conditionalFormatting>
  <conditionalFormatting sqref="O5036">
    <cfRule type="expression" dxfId="1785" priority="8867" stopIfTrue="1">
      <formula>OR($O$5036="F/S",$O$5036="")</formula>
    </cfRule>
    <cfRule type="cellIs" dxfId="1784" priority="8868" stopIfTrue="1" operator="notEqual">
      <formula>0</formula>
    </cfRule>
  </conditionalFormatting>
  <conditionalFormatting sqref="L5923">
    <cfRule type="expression" dxfId="1783" priority="8869" stopIfTrue="1">
      <formula>OR($L$5923="F/S",$L$5923="")</formula>
    </cfRule>
    <cfRule type="cellIs" dxfId="1782" priority="8870" stopIfTrue="1" operator="notEqual">
      <formula>0</formula>
    </cfRule>
  </conditionalFormatting>
  <conditionalFormatting sqref="O5923">
    <cfRule type="expression" dxfId="1781" priority="8871" stopIfTrue="1">
      <formula>OR($O$5923="F/S",$O$5923="")</formula>
    </cfRule>
    <cfRule type="cellIs" dxfId="1780" priority="8872" stopIfTrue="1" operator="notEqual">
      <formula>0</formula>
    </cfRule>
  </conditionalFormatting>
  <conditionalFormatting sqref="L5934">
    <cfRule type="expression" dxfId="1779" priority="8873" stopIfTrue="1">
      <formula>OR($L$5934="F/S",$L$5934="")</formula>
    </cfRule>
    <cfRule type="cellIs" dxfId="1778" priority="8874" stopIfTrue="1" operator="notEqual">
      <formula>0</formula>
    </cfRule>
  </conditionalFormatting>
  <conditionalFormatting sqref="O5934">
    <cfRule type="expression" dxfId="1777" priority="8875" stopIfTrue="1">
      <formula>OR($O$5934="F/S",$O$5934="")</formula>
    </cfRule>
    <cfRule type="cellIs" dxfId="1776" priority="8876" stopIfTrue="1" operator="notEqual">
      <formula>0</formula>
    </cfRule>
  </conditionalFormatting>
  <conditionalFormatting sqref="L5945">
    <cfRule type="expression" dxfId="1775" priority="8877" stopIfTrue="1">
      <formula>OR($L$5945="F/S",$L$5945="")</formula>
    </cfRule>
    <cfRule type="cellIs" dxfId="1774" priority="8878" stopIfTrue="1" operator="notEqual">
      <formula>0</formula>
    </cfRule>
  </conditionalFormatting>
  <conditionalFormatting sqref="O5945">
    <cfRule type="expression" dxfId="1773" priority="8879" stopIfTrue="1">
      <formula>OR($O$5945="F/S",$O$5945="")</formula>
    </cfRule>
    <cfRule type="cellIs" dxfId="1772" priority="8880" stopIfTrue="1" operator="notEqual">
      <formula>0</formula>
    </cfRule>
  </conditionalFormatting>
  <conditionalFormatting sqref="L5956">
    <cfRule type="expression" dxfId="1771" priority="8881" stopIfTrue="1">
      <formula>OR($L$5956="F/S",$L$5956="")</formula>
    </cfRule>
    <cfRule type="cellIs" dxfId="1770" priority="8882" stopIfTrue="1" operator="notEqual">
      <formula>0</formula>
    </cfRule>
  </conditionalFormatting>
  <conditionalFormatting sqref="O5956">
    <cfRule type="expression" dxfId="1769" priority="8883" stopIfTrue="1">
      <formula>OR($O$5956="F/S",$O$5956="")</formula>
    </cfRule>
    <cfRule type="cellIs" dxfId="1768" priority="8884" stopIfTrue="1" operator="notEqual">
      <formula>0</formula>
    </cfRule>
  </conditionalFormatting>
  <conditionalFormatting sqref="L5052">
    <cfRule type="expression" dxfId="1767" priority="8885" stopIfTrue="1">
      <formula>OR($L$5052="F/S",$L$5052="")</formula>
    </cfRule>
    <cfRule type="cellIs" dxfId="1766" priority="8886" stopIfTrue="1" operator="notEqual">
      <formula>0</formula>
    </cfRule>
  </conditionalFormatting>
  <conditionalFormatting sqref="O5052">
    <cfRule type="expression" dxfId="1765" priority="8887" stopIfTrue="1">
      <formula>OR($O$5052="F/S",$O$5052="")</formula>
    </cfRule>
    <cfRule type="cellIs" dxfId="1764" priority="8888" stopIfTrue="1" operator="notEqual">
      <formula>0</formula>
    </cfRule>
  </conditionalFormatting>
  <conditionalFormatting sqref="L5975">
    <cfRule type="expression" dxfId="1763" priority="8889" stopIfTrue="1">
      <formula>OR($L$5975="F/S",$L$5975="")</formula>
    </cfRule>
    <cfRule type="cellIs" dxfId="1762" priority="8890" stopIfTrue="1" operator="notEqual">
      <formula>0</formula>
    </cfRule>
  </conditionalFormatting>
  <conditionalFormatting sqref="O5975">
    <cfRule type="expression" dxfId="1761" priority="8891" stopIfTrue="1">
      <formula>OR($O$5975="F/S",$O$5975="")</formula>
    </cfRule>
    <cfRule type="cellIs" dxfId="1760" priority="8892" stopIfTrue="1" operator="notEqual">
      <formula>0</formula>
    </cfRule>
  </conditionalFormatting>
  <conditionalFormatting sqref="L5996">
    <cfRule type="expression" dxfId="1759" priority="8893" stopIfTrue="1">
      <formula>OR($L$5996="F/S",$L$5996="")</formula>
    </cfRule>
    <cfRule type="cellIs" dxfId="1758" priority="8894" stopIfTrue="1" operator="notEqual">
      <formula>0</formula>
    </cfRule>
  </conditionalFormatting>
  <conditionalFormatting sqref="O5996">
    <cfRule type="expression" dxfId="1757" priority="8895" stopIfTrue="1">
      <formula>OR($O$5996="F/S",$O$5996="")</formula>
    </cfRule>
    <cfRule type="cellIs" dxfId="1756" priority="8896" stopIfTrue="1" operator="notEqual">
      <formula>0</formula>
    </cfRule>
  </conditionalFormatting>
  <conditionalFormatting sqref="L5063">
    <cfRule type="expression" dxfId="1755" priority="8897" stopIfTrue="1">
      <formula>OR($L$5063="F/S",$L$5063="")</formula>
    </cfRule>
    <cfRule type="cellIs" dxfId="1754" priority="8898" stopIfTrue="1" operator="notEqual">
      <formula>0</formula>
    </cfRule>
  </conditionalFormatting>
  <conditionalFormatting sqref="O5063">
    <cfRule type="expression" dxfId="1753" priority="8899" stopIfTrue="1">
      <formula>OR($O$5063="F/S",$O$5063="")</formula>
    </cfRule>
    <cfRule type="cellIs" dxfId="1752" priority="8900" stopIfTrue="1" operator="notEqual">
      <formula>0</formula>
    </cfRule>
  </conditionalFormatting>
  <conditionalFormatting sqref="L6007">
    <cfRule type="expression" dxfId="1751" priority="8901" stopIfTrue="1">
      <formula>OR($L$6007="F/S",$L$6007="")</formula>
    </cfRule>
    <cfRule type="cellIs" dxfId="1750" priority="8902" stopIfTrue="1" operator="notEqual">
      <formula>0</formula>
    </cfRule>
  </conditionalFormatting>
  <conditionalFormatting sqref="O6007">
    <cfRule type="expression" dxfId="1749" priority="8903" stopIfTrue="1">
      <formula>OR($O$6007="F/S",$O$6007="")</formula>
    </cfRule>
    <cfRule type="cellIs" dxfId="1748" priority="8904" stopIfTrue="1" operator="notEqual">
      <formula>0</formula>
    </cfRule>
  </conditionalFormatting>
  <conditionalFormatting sqref="L5074">
    <cfRule type="expression" dxfId="1747" priority="8905" stopIfTrue="1">
      <formula>OR($L$5074="F/S",$L$5074="")</formula>
    </cfRule>
    <cfRule type="cellIs" dxfId="1746" priority="8906" stopIfTrue="1" operator="notEqual">
      <formula>0</formula>
    </cfRule>
  </conditionalFormatting>
  <conditionalFormatting sqref="O5074">
    <cfRule type="expression" dxfId="1745" priority="8907" stopIfTrue="1">
      <formula>OR($O$5074="F/S",$O$5074="")</formula>
    </cfRule>
    <cfRule type="cellIs" dxfId="1744" priority="8908" stopIfTrue="1" operator="notEqual">
      <formula>0</formula>
    </cfRule>
  </conditionalFormatting>
  <conditionalFormatting sqref="L6019">
    <cfRule type="expression" dxfId="1743" priority="8909" stopIfTrue="1">
      <formula>OR($L$6019="F/S",$L$6019="")</formula>
    </cfRule>
    <cfRule type="cellIs" dxfId="1742" priority="8910" stopIfTrue="1" operator="notEqual">
      <formula>0</formula>
    </cfRule>
  </conditionalFormatting>
  <conditionalFormatting sqref="O6019">
    <cfRule type="expression" dxfId="1741" priority="8911" stopIfTrue="1">
      <formula>OR($O$6019="F/S",$O$6019="")</formula>
    </cfRule>
    <cfRule type="cellIs" dxfId="1740" priority="8912" stopIfTrue="1" operator="notEqual">
      <formula>0</formula>
    </cfRule>
  </conditionalFormatting>
  <conditionalFormatting sqref="L6031">
    <cfRule type="expression" dxfId="1739" priority="8913" stopIfTrue="1">
      <formula>OR($L$6031="F/S",$L$6031="")</formula>
    </cfRule>
    <cfRule type="cellIs" dxfId="1738" priority="8914" stopIfTrue="1" operator="notEqual">
      <formula>0</formula>
    </cfRule>
  </conditionalFormatting>
  <conditionalFormatting sqref="O6031">
    <cfRule type="expression" dxfId="1737" priority="8915" stopIfTrue="1">
      <formula>OR($O$6031="F/S",$O$6031="")</formula>
    </cfRule>
    <cfRule type="cellIs" dxfId="1736" priority="8916" stopIfTrue="1" operator="notEqual">
      <formula>0</formula>
    </cfRule>
  </conditionalFormatting>
  <conditionalFormatting sqref="L5085">
    <cfRule type="expression" dxfId="1735" priority="8917" stopIfTrue="1">
      <formula>OR($L$5085="F/S",$L$5085="")</formula>
    </cfRule>
    <cfRule type="cellIs" dxfId="1734" priority="8918" stopIfTrue="1" operator="notEqual">
      <formula>0</formula>
    </cfRule>
  </conditionalFormatting>
  <conditionalFormatting sqref="O5085">
    <cfRule type="expression" dxfId="1733" priority="8919" stopIfTrue="1">
      <formula>OR($O$5085="F/S",$O$5085="")</formula>
    </cfRule>
    <cfRule type="cellIs" dxfId="1732" priority="8920" stopIfTrue="1" operator="notEqual">
      <formula>0</formula>
    </cfRule>
  </conditionalFormatting>
  <conditionalFormatting sqref="L5096">
    <cfRule type="expression" dxfId="1731" priority="8921" stopIfTrue="1">
      <formula>OR($L$5096="F/S",$L$5096="")</formula>
    </cfRule>
    <cfRule type="cellIs" dxfId="1730" priority="8922" stopIfTrue="1" operator="notEqual">
      <formula>0</formula>
    </cfRule>
  </conditionalFormatting>
  <conditionalFormatting sqref="O5096">
    <cfRule type="expression" dxfId="1729" priority="8923" stopIfTrue="1">
      <formula>OR($O$5096="F/S",$O$5096="")</formula>
    </cfRule>
    <cfRule type="cellIs" dxfId="1728" priority="8924" stopIfTrue="1" operator="notEqual">
      <formula>0</formula>
    </cfRule>
  </conditionalFormatting>
  <conditionalFormatting sqref="L5119">
    <cfRule type="expression" dxfId="1727" priority="8925" stopIfTrue="1">
      <formula>OR($L$5119="F/S",$L$5119="")</formula>
    </cfRule>
    <cfRule type="cellIs" dxfId="1726" priority="8926" stopIfTrue="1" operator="notEqual">
      <formula>0</formula>
    </cfRule>
  </conditionalFormatting>
  <conditionalFormatting sqref="O5119">
    <cfRule type="expression" dxfId="1725" priority="8927" stopIfTrue="1">
      <formula>OR($O$5119="F/S",$O$5119="")</formula>
    </cfRule>
    <cfRule type="cellIs" dxfId="1724" priority="8928" stopIfTrue="1" operator="notEqual">
      <formula>0</formula>
    </cfRule>
  </conditionalFormatting>
  <conditionalFormatting sqref="L5127">
    <cfRule type="expression" dxfId="1723" priority="8929" stopIfTrue="1">
      <formula>OR($L$5127="F/S",$L$5127="")</formula>
    </cfRule>
    <cfRule type="cellIs" dxfId="1722" priority="8930" stopIfTrue="1" operator="notEqual">
      <formula>0</formula>
    </cfRule>
  </conditionalFormatting>
  <conditionalFormatting sqref="O5127">
    <cfRule type="expression" dxfId="1721" priority="8931" stopIfTrue="1">
      <formula>OR($O$5127="F/S",$O$5127="")</formula>
    </cfRule>
    <cfRule type="cellIs" dxfId="1720" priority="8932" stopIfTrue="1" operator="notEqual">
      <formula>0</formula>
    </cfRule>
  </conditionalFormatting>
  <conditionalFormatting sqref="L5156">
    <cfRule type="expression" dxfId="1719" priority="8937" stopIfTrue="1">
      <formula>OR($L$5156="F/S",$L$5156="")</formula>
    </cfRule>
    <cfRule type="cellIs" dxfId="1718" priority="8938" stopIfTrue="1" operator="notEqual">
      <formula>0</formula>
    </cfRule>
  </conditionalFormatting>
  <conditionalFormatting sqref="O5156">
    <cfRule type="expression" dxfId="1717" priority="8939" stopIfTrue="1">
      <formula>OR($O$5156="F/S",$O$5156="")</formula>
    </cfRule>
    <cfRule type="cellIs" dxfId="1716" priority="8940" stopIfTrue="1" operator="notEqual">
      <formula>0</formula>
    </cfRule>
  </conditionalFormatting>
  <conditionalFormatting sqref="L5172">
    <cfRule type="expression" dxfId="1715" priority="8941" stopIfTrue="1">
      <formula>OR($L$5172="F/S",$L$5172="")</formula>
    </cfRule>
    <cfRule type="cellIs" dxfId="1714" priority="8942" stopIfTrue="1" operator="notEqual">
      <formula>0</formula>
    </cfRule>
  </conditionalFormatting>
  <conditionalFormatting sqref="O5172">
    <cfRule type="expression" dxfId="1713" priority="8943" stopIfTrue="1">
      <formula>OR($O$5172="F/S",$O$5172="")</formula>
    </cfRule>
    <cfRule type="cellIs" dxfId="1712" priority="8944" stopIfTrue="1" operator="notEqual">
      <formula>0</formula>
    </cfRule>
  </conditionalFormatting>
  <conditionalFormatting sqref="L5136">
    <cfRule type="expression" dxfId="1711" priority="8945" stopIfTrue="1">
      <formula>OR($L$5136="F/S",$L$5136="")</formula>
    </cfRule>
    <cfRule type="cellIs" dxfId="1710" priority="8946" stopIfTrue="1" operator="notEqual">
      <formula>0</formula>
    </cfRule>
  </conditionalFormatting>
  <conditionalFormatting sqref="O5136">
    <cfRule type="expression" dxfId="1709" priority="8947" stopIfTrue="1">
      <formula>OR($O$5136="F/S",$O$5136="")</formula>
    </cfRule>
    <cfRule type="cellIs" dxfId="1708" priority="8948" stopIfTrue="1" operator="notEqual">
      <formula>0</formula>
    </cfRule>
  </conditionalFormatting>
  <conditionalFormatting sqref="L5146">
    <cfRule type="expression" dxfId="1707" priority="8949" stopIfTrue="1">
      <formula>OR($L$5146="F/S",$L$5146="")</formula>
    </cfRule>
    <cfRule type="cellIs" dxfId="1706" priority="8950" stopIfTrue="1" operator="notEqual">
      <formula>0</formula>
    </cfRule>
  </conditionalFormatting>
  <conditionalFormatting sqref="O5146">
    <cfRule type="expression" dxfId="1705" priority="8951" stopIfTrue="1">
      <formula>OR($O$5146="F/S",$O$5146="")</formula>
    </cfRule>
    <cfRule type="cellIs" dxfId="1704" priority="8952" stopIfTrue="1" operator="notEqual">
      <formula>0</formula>
    </cfRule>
  </conditionalFormatting>
  <conditionalFormatting sqref="L6054">
    <cfRule type="expression" dxfId="1703" priority="8953" stopIfTrue="1">
      <formula>OR($L$6054="F/S",$L$6054="")</formula>
    </cfRule>
    <cfRule type="cellIs" dxfId="1702" priority="8954" stopIfTrue="1" operator="notEqual">
      <formula>0</formula>
    </cfRule>
  </conditionalFormatting>
  <conditionalFormatting sqref="O6054">
    <cfRule type="expression" dxfId="1701" priority="8955" stopIfTrue="1">
      <formula>OR($O$6054="F/S",$O$6054="")</formula>
    </cfRule>
    <cfRule type="cellIs" dxfId="1700" priority="8956" stopIfTrue="1" operator="notEqual">
      <formula>0</formula>
    </cfRule>
  </conditionalFormatting>
  <conditionalFormatting sqref="L6063">
    <cfRule type="expression" dxfId="1699" priority="8957" stopIfTrue="1">
      <formula>OR($L$6063="F/S",$L$6063="")</formula>
    </cfRule>
    <cfRule type="cellIs" dxfId="1698" priority="8958" stopIfTrue="1" operator="notEqual">
      <formula>0</formula>
    </cfRule>
  </conditionalFormatting>
  <conditionalFormatting sqref="O6063">
    <cfRule type="expression" dxfId="1697" priority="8959" stopIfTrue="1">
      <formula>OR($O$6063="F/S",$O$6063="")</formula>
    </cfRule>
    <cfRule type="cellIs" dxfId="1696" priority="8960" stopIfTrue="1" operator="notEqual">
      <formula>0</formula>
    </cfRule>
  </conditionalFormatting>
  <conditionalFormatting sqref="L6074">
    <cfRule type="expression" dxfId="1695" priority="8961" stopIfTrue="1">
      <formula>OR($L$6074="F/S",$L$6074="")</formula>
    </cfRule>
    <cfRule type="cellIs" dxfId="1694" priority="8962" stopIfTrue="1" operator="notEqual">
      <formula>0</formula>
    </cfRule>
  </conditionalFormatting>
  <conditionalFormatting sqref="O6074">
    <cfRule type="expression" dxfId="1693" priority="8963" stopIfTrue="1">
      <formula>OR($O$6074="F/S",$O$6074="")</formula>
    </cfRule>
    <cfRule type="cellIs" dxfId="1692" priority="8964" stopIfTrue="1" operator="notEqual">
      <formula>0</formula>
    </cfRule>
  </conditionalFormatting>
  <conditionalFormatting sqref="L6083">
    <cfRule type="expression" dxfId="1691" priority="8965" stopIfTrue="1">
      <formula>OR($L$6083="F/S",$L$6083="")</formula>
    </cfRule>
    <cfRule type="cellIs" dxfId="1690" priority="8966" stopIfTrue="1" operator="notEqual">
      <formula>0</formula>
    </cfRule>
  </conditionalFormatting>
  <conditionalFormatting sqref="O6083">
    <cfRule type="expression" dxfId="1689" priority="8967" stopIfTrue="1">
      <formula>OR($O$6083="F/S",$O$6083="")</formula>
    </cfRule>
    <cfRule type="cellIs" dxfId="1688" priority="8968" stopIfTrue="1" operator="notEqual">
      <formula>0</formula>
    </cfRule>
  </conditionalFormatting>
  <conditionalFormatting sqref="L6092">
    <cfRule type="expression" dxfId="1687" priority="8969" stopIfTrue="1">
      <formula>OR($L$6092="F/S",$L$6092="")</formula>
    </cfRule>
    <cfRule type="cellIs" dxfId="1686" priority="8970" stopIfTrue="1" operator="notEqual">
      <formula>0</formula>
    </cfRule>
  </conditionalFormatting>
  <conditionalFormatting sqref="O6092">
    <cfRule type="expression" dxfId="1685" priority="8971" stopIfTrue="1">
      <formula>OR($O$6092="F/S",$O$6092="")</formula>
    </cfRule>
    <cfRule type="cellIs" dxfId="1684" priority="8972" stopIfTrue="1" operator="notEqual">
      <formula>0</formula>
    </cfRule>
  </conditionalFormatting>
  <conditionalFormatting sqref="L6106">
    <cfRule type="expression" dxfId="1683" priority="8973" stopIfTrue="1">
      <formula>OR($L$6106="F/S",$L$6106="")</formula>
    </cfRule>
    <cfRule type="cellIs" dxfId="1682" priority="8974" stopIfTrue="1" operator="notEqual">
      <formula>0</formula>
    </cfRule>
  </conditionalFormatting>
  <conditionalFormatting sqref="O6106">
    <cfRule type="expression" dxfId="1681" priority="8975" stopIfTrue="1">
      <formula>OR($O$6106="F/S",$O$6106="")</formula>
    </cfRule>
    <cfRule type="cellIs" dxfId="1680" priority="8976" stopIfTrue="1" operator="notEqual">
      <formula>0</formula>
    </cfRule>
  </conditionalFormatting>
  <conditionalFormatting sqref="L6116">
    <cfRule type="expression" dxfId="1679" priority="8977" stopIfTrue="1">
      <formula>OR($L$6116="F/S",$L$6116="")</formula>
    </cfRule>
    <cfRule type="cellIs" dxfId="1678" priority="8978" stopIfTrue="1" operator="notEqual">
      <formula>0</formula>
    </cfRule>
  </conditionalFormatting>
  <conditionalFormatting sqref="O6116">
    <cfRule type="expression" dxfId="1677" priority="8979" stopIfTrue="1">
      <formula>OR($O$6116="F/S",$O$6116="")</formula>
    </cfRule>
    <cfRule type="cellIs" dxfId="1676" priority="8980" stopIfTrue="1" operator="notEqual">
      <formula>0</formula>
    </cfRule>
  </conditionalFormatting>
  <conditionalFormatting sqref="L6125">
    <cfRule type="expression" dxfId="1675" priority="8981" stopIfTrue="1">
      <formula>OR($L$6125="F/S",$L$6125="")</formula>
    </cfRule>
    <cfRule type="cellIs" dxfId="1674" priority="8982" stopIfTrue="1" operator="notEqual">
      <formula>0</formula>
    </cfRule>
  </conditionalFormatting>
  <conditionalFormatting sqref="O6125">
    <cfRule type="expression" dxfId="1673" priority="8983" stopIfTrue="1">
      <formula>OR($O$6125="F/S",$O$6125="")</formula>
    </cfRule>
    <cfRule type="cellIs" dxfId="1672" priority="8984" stopIfTrue="1" operator="notEqual">
      <formula>0</formula>
    </cfRule>
  </conditionalFormatting>
  <conditionalFormatting sqref="L6136">
    <cfRule type="expression" dxfId="1671" priority="8985" stopIfTrue="1">
      <formula>OR($L$6136="F/S",$L$6136="")</formula>
    </cfRule>
    <cfRule type="cellIs" dxfId="1670" priority="8986" stopIfTrue="1" operator="notEqual">
      <formula>0</formula>
    </cfRule>
  </conditionalFormatting>
  <conditionalFormatting sqref="O6136">
    <cfRule type="expression" dxfId="1669" priority="8987" stopIfTrue="1">
      <formula>OR($O$6136="F/S",$O$6136="")</formula>
    </cfRule>
    <cfRule type="cellIs" dxfId="1668" priority="8988" stopIfTrue="1" operator="notEqual">
      <formula>0</formula>
    </cfRule>
  </conditionalFormatting>
  <conditionalFormatting sqref="L6145">
    <cfRule type="expression" dxfId="1667" priority="8989" stopIfTrue="1">
      <formula>OR($L$6145="F/S",$L$6145="")</formula>
    </cfRule>
    <cfRule type="cellIs" dxfId="1666" priority="8990" stopIfTrue="1" operator="notEqual">
      <formula>0</formula>
    </cfRule>
  </conditionalFormatting>
  <conditionalFormatting sqref="O6145">
    <cfRule type="expression" dxfId="1665" priority="8991" stopIfTrue="1">
      <formula>OR($O$6145="F/S",$O$6145="")</formula>
    </cfRule>
    <cfRule type="cellIs" dxfId="1664" priority="8992" stopIfTrue="1" operator="notEqual">
      <formula>0</formula>
    </cfRule>
  </conditionalFormatting>
  <conditionalFormatting sqref="L6154">
    <cfRule type="expression" dxfId="1663" priority="8993" stopIfTrue="1">
      <formula>OR($L$6154="F/S",$L$6154="")</formula>
    </cfRule>
    <cfRule type="cellIs" dxfId="1662" priority="8994" stopIfTrue="1" operator="notEqual">
      <formula>0</formula>
    </cfRule>
  </conditionalFormatting>
  <conditionalFormatting sqref="O6154">
    <cfRule type="expression" dxfId="1661" priority="8995" stopIfTrue="1">
      <formula>OR($O$6154="F/S",$O$6154="")</formula>
    </cfRule>
    <cfRule type="cellIs" dxfId="1660" priority="8996" stopIfTrue="1" operator="notEqual">
      <formula>0</formula>
    </cfRule>
  </conditionalFormatting>
  <conditionalFormatting sqref="L6163">
    <cfRule type="expression" dxfId="1659" priority="8997" stopIfTrue="1">
      <formula>OR($L$6163="F/S",$L$6163="")</formula>
    </cfRule>
    <cfRule type="cellIs" dxfId="1658" priority="8998" stopIfTrue="1" operator="notEqual">
      <formula>0</formula>
    </cfRule>
  </conditionalFormatting>
  <conditionalFormatting sqref="O6163">
    <cfRule type="expression" dxfId="1657" priority="8999" stopIfTrue="1">
      <formula>OR($O$6163="F/S",$O$6163="")</formula>
    </cfRule>
    <cfRule type="cellIs" dxfId="1656" priority="9000" stopIfTrue="1" operator="notEqual">
      <formula>0</formula>
    </cfRule>
  </conditionalFormatting>
  <conditionalFormatting sqref="L6185">
    <cfRule type="expression" dxfId="1655" priority="9001" stopIfTrue="1">
      <formula>OR($L$6185="F/S",$L$6185="")</formula>
    </cfRule>
    <cfRule type="cellIs" dxfId="1654" priority="9002" stopIfTrue="1" operator="notEqual">
      <formula>0</formula>
    </cfRule>
  </conditionalFormatting>
  <conditionalFormatting sqref="O6185">
    <cfRule type="expression" dxfId="1653" priority="9003" stopIfTrue="1">
      <formula>OR($O$6185="F/S",$O$6185="")</formula>
    </cfRule>
    <cfRule type="cellIs" dxfId="1652" priority="9004" stopIfTrue="1" operator="notEqual">
      <formula>0</formula>
    </cfRule>
  </conditionalFormatting>
  <conditionalFormatting sqref="L6212">
    <cfRule type="expression" dxfId="1651" priority="9005" stopIfTrue="1">
      <formula>OR($L$6212="F/S",$L$6212="")</formula>
    </cfRule>
    <cfRule type="cellIs" dxfId="1650" priority="9006" stopIfTrue="1" operator="notEqual">
      <formula>0</formula>
    </cfRule>
  </conditionalFormatting>
  <conditionalFormatting sqref="O6212">
    <cfRule type="expression" dxfId="1649" priority="9007" stopIfTrue="1">
      <formula>OR($O$6212="F/S",$O$6212="")</formula>
    </cfRule>
    <cfRule type="cellIs" dxfId="1648" priority="9008" stopIfTrue="1" operator="notEqual">
      <formula>0</formula>
    </cfRule>
  </conditionalFormatting>
  <conditionalFormatting sqref="L6241">
    <cfRule type="expression" dxfId="1647" priority="9009" stopIfTrue="1">
      <formula>OR($L$6241="F/S",$L$6241="")</formula>
    </cfRule>
    <cfRule type="cellIs" dxfId="1646" priority="9010" stopIfTrue="1" operator="notEqual">
      <formula>0</formula>
    </cfRule>
  </conditionalFormatting>
  <conditionalFormatting sqref="O6241">
    <cfRule type="expression" dxfId="1645" priority="9011" stopIfTrue="1">
      <formula>OR($O$6241="F/S",$O$6241="")</formula>
    </cfRule>
    <cfRule type="cellIs" dxfId="1644" priority="9012" stopIfTrue="1" operator="notEqual">
      <formula>0</formula>
    </cfRule>
  </conditionalFormatting>
  <conditionalFormatting sqref="L5621">
    <cfRule type="expression" dxfId="1643" priority="9013" stopIfTrue="1">
      <formula>OR($L$5621="F/S",$L$5621="")</formula>
    </cfRule>
    <cfRule type="cellIs" dxfId="1642" priority="9014" stopIfTrue="1" operator="notEqual">
      <formula>0</formula>
    </cfRule>
  </conditionalFormatting>
  <conditionalFormatting sqref="O5621">
    <cfRule type="expression" dxfId="1641" priority="9015" stopIfTrue="1">
      <formula>OR($O$5621="F/S",$O$5621="")</formula>
    </cfRule>
    <cfRule type="cellIs" dxfId="1640" priority="9016" stopIfTrue="1" operator="notEqual">
      <formula>0</formula>
    </cfRule>
  </conditionalFormatting>
  <conditionalFormatting sqref="L5634">
    <cfRule type="expression" dxfId="1639" priority="9017" stopIfTrue="1">
      <formula>OR($L$5634="F/S",$L$5634="")</formula>
    </cfRule>
    <cfRule type="cellIs" dxfId="1638" priority="9018" stopIfTrue="1" operator="notEqual">
      <formula>0</formula>
    </cfRule>
  </conditionalFormatting>
  <conditionalFormatting sqref="O5634">
    <cfRule type="expression" dxfId="1637" priority="9019" stopIfTrue="1">
      <formula>OR($O$5634="F/S",$O$5634="")</formula>
    </cfRule>
    <cfRule type="cellIs" dxfId="1636" priority="9020" stopIfTrue="1" operator="notEqual">
      <formula>0</formula>
    </cfRule>
  </conditionalFormatting>
  <conditionalFormatting sqref="L5647">
    <cfRule type="expression" dxfId="1635" priority="9021" stopIfTrue="1">
      <formula>OR($L$5647="F/S",$L$5647="")</formula>
    </cfRule>
    <cfRule type="cellIs" dxfId="1634" priority="9022" stopIfTrue="1" operator="notEqual">
      <formula>0</formula>
    </cfRule>
  </conditionalFormatting>
  <conditionalFormatting sqref="O5647">
    <cfRule type="expression" dxfId="1633" priority="9023" stopIfTrue="1">
      <formula>OR($O$5647="F/S",$O$5647="")</formula>
    </cfRule>
    <cfRule type="cellIs" dxfId="1632" priority="9024" stopIfTrue="1" operator="notEqual">
      <formula>0</formula>
    </cfRule>
  </conditionalFormatting>
  <conditionalFormatting sqref="L5657">
    <cfRule type="expression" dxfId="1631" priority="9025" stopIfTrue="1">
      <formula>OR($L$5657="F/S",$L$5657="")</formula>
    </cfRule>
    <cfRule type="cellIs" dxfId="1630" priority="9026" stopIfTrue="1" operator="notEqual">
      <formula>0</formula>
    </cfRule>
  </conditionalFormatting>
  <conditionalFormatting sqref="O5657">
    <cfRule type="expression" dxfId="1629" priority="9027" stopIfTrue="1">
      <formula>OR($O$5657="F/S",$O$5657="")</formula>
    </cfRule>
    <cfRule type="cellIs" dxfId="1628" priority="9028" stopIfTrue="1" operator="notEqual">
      <formula>0</formula>
    </cfRule>
  </conditionalFormatting>
  <conditionalFormatting sqref="L5667">
    <cfRule type="expression" dxfId="1627" priority="9029" stopIfTrue="1">
      <formula>OR($L$5667="F/S",$L$5667="")</formula>
    </cfRule>
    <cfRule type="cellIs" dxfId="1626" priority="9030" stopIfTrue="1" operator="notEqual">
      <formula>0</formula>
    </cfRule>
  </conditionalFormatting>
  <conditionalFormatting sqref="O5667">
    <cfRule type="expression" dxfId="1625" priority="9031" stopIfTrue="1">
      <formula>OR($O$5667="F/S",$O$5667="")</formula>
    </cfRule>
    <cfRule type="cellIs" dxfId="1624" priority="9032" stopIfTrue="1" operator="notEqual">
      <formula>0</formula>
    </cfRule>
  </conditionalFormatting>
  <conditionalFormatting sqref="L5677">
    <cfRule type="expression" dxfId="1623" priority="9033" stopIfTrue="1">
      <formula>OR($L$5677="F/S",$L$5677="")</formula>
    </cfRule>
    <cfRule type="cellIs" dxfId="1622" priority="9034" stopIfTrue="1" operator="notEqual">
      <formula>0</formula>
    </cfRule>
  </conditionalFormatting>
  <conditionalFormatting sqref="O5677">
    <cfRule type="expression" dxfId="1621" priority="9035" stopIfTrue="1">
      <formula>OR($O$5677="F/S",$O$5677="")</formula>
    </cfRule>
    <cfRule type="cellIs" dxfId="1620" priority="9036" stopIfTrue="1" operator="notEqual">
      <formula>0</formula>
    </cfRule>
  </conditionalFormatting>
  <conditionalFormatting sqref="L5687">
    <cfRule type="expression" dxfId="1619" priority="9037" stopIfTrue="1">
      <formula>OR($L$5687="F/S",$L$5687="")</formula>
    </cfRule>
    <cfRule type="cellIs" dxfId="1618" priority="9038" stopIfTrue="1" operator="notEqual">
      <formula>0</formula>
    </cfRule>
  </conditionalFormatting>
  <conditionalFormatting sqref="O5687">
    <cfRule type="expression" dxfId="1617" priority="9039" stopIfTrue="1">
      <formula>OR($O$5687="F/S",$O$5687="")</formula>
    </cfRule>
    <cfRule type="cellIs" dxfId="1616" priority="9040" stopIfTrue="1" operator="notEqual">
      <formula>0</formula>
    </cfRule>
  </conditionalFormatting>
  <conditionalFormatting sqref="L5697">
    <cfRule type="expression" dxfId="1615" priority="9041" stopIfTrue="1">
      <formula>OR($L$5697="F/S",$L$5697="")</formula>
    </cfRule>
    <cfRule type="cellIs" dxfId="1614" priority="9042" stopIfTrue="1" operator="notEqual">
      <formula>0</formula>
    </cfRule>
  </conditionalFormatting>
  <conditionalFormatting sqref="O5697">
    <cfRule type="expression" dxfId="1613" priority="9043" stopIfTrue="1">
      <formula>OR($O$5697="F/S",$O$5697="")</formula>
    </cfRule>
    <cfRule type="cellIs" dxfId="1612" priority="9044" stopIfTrue="1" operator="notEqual">
      <formula>0</formula>
    </cfRule>
  </conditionalFormatting>
  <conditionalFormatting sqref="L5707">
    <cfRule type="expression" dxfId="1611" priority="9045" stopIfTrue="1">
      <formula>OR($L$5707="F/S",$L$5707="")</formula>
    </cfRule>
    <cfRule type="cellIs" dxfId="1610" priority="9046" stopIfTrue="1" operator="notEqual">
      <formula>0</formula>
    </cfRule>
  </conditionalFormatting>
  <conditionalFormatting sqref="O5707">
    <cfRule type="expression" dxfId="1609" priority="9047" stopIfTrue="1">
      <formula>OR($O$5707="F/S",$O$5707="")</formula>
    </cfRule>
    <cfRule type="cellIs" dxfId="1608" priority="9048" stopIfTrue="1" operator="notEqual">
      <formula>0</formula>
    </cfRule>
  </conditionalFormatting>
  <conditionalFormatting sqref="L5717">
    <cfRule type="expression" dxfId="1607" priority="9049" stopIfTrue="1">
      <formula>OR($L$5717="F/S",$L$5717="")</formula>
    </cfRule>
    <cfRule type="cellIs" dxfId="1606" priority="9050" stopIfTrue="1" operator="notEqual">
      <formula>0</formula>
    </cfRule>
  </conditionalFormatting>
  <conditionalFormatting sqref="O5717">
    <cfRule type="expression" dxfId="1605" priority="9051" stopIfTrue="1">
      <formula>OR($O$5717="F/S",$O$5717="")</formula>
    </cfRule>
    <cfRule type="cellIs" dxfId="1604" priority="9052" stopIfTrue="1" operator="notEqual">
      <formula>0</formula>
    </cfRule>
  </conditionalFormatting>
  <conditionalFormatting sqref="L5727">
    <cfRule type="expression" dxfId="1603" priority="9053" stopIfTrue="1">
      <formula>OR($L$5727="F/S",$L$5727="")</formula>
    </cfRule>
    <cfRule type="cellIs" dxfId="1602" priority="9054" stopIfTrue="1" operator="notEqual">
      <formula>0</formula>
    </cfRule>
  </conditionalFormatting>
  <conditionalFormatting sqref="O5727">
    <cfRule type="expression" dxfId="1601" priority="9055" stopIfTrue="1">
      <formula>OR($O$5727="F/S",$O$5727="")</formula>
    </cfRule>
    <cfRule type="cellIs" dxfId="1600" priority="9056" stopIfTrue="1" operator="notEqual">
      <formula>0</formula>
    </cfRule>
  </conditionalFormatting>
  <conditionalFormatting sqref="L5737">
    <cfRule type="expression" dxfId="1599" priority="9057" stopIfTrue="1">
      <formula>OR($L$5737="F/S",$L$5737="")</formula>
    </cfRule>
    <cfRule type="cellIs" dxfId="1598" priority="9058" stopIfTrue="1" operator="notEqual">
      <formula>0</formula>
    </cfRule>
  </conditionalFormatting>
  <conditionalFormatting sqref="O5737">
    <cfRule type="expression" dxfId="1597" priority="9059" stopIfTrue="1">
      <formula>OR($O$5737="F/S",$O$5737="")</formula>
    </cfRule>
    <cfRule type="cellIs" dxfId="1596" priority="9060" stopIfTrue="1" operator="notEqual">
      <formula>0</formula>
    </cfRule>
  </conditionalFormatting>
  <conditionalFormatting sqref="L5745">
    <cfRule type="expression" dxfId="1595" priority="9061" stopIfTrue="1">
      <formula>OR($L$5745="F/S",$L$5745="")</formula>
    </cfRule>
    <cfRule type="cellIs" dxfId="1594" priority="9062" stopIfTrue="1" operator="notEqual">
      <formula>0</formula>
    </cfRule>
  </conditionalFormatting>
  <conditionalFormatting sqref="O5745">
    <cfRule type="expression" dxfId="1593" priority="9063" stopIfTrue="1">
      <formula>OR($O$5745="F/S",$O$5745="")</formula>
    </cfRule>
    <cfRule type="cellIs" dxfId="1592" priority="9064" stopIfTrue="1" operator="notEqual">
      <formula>0</formula>
    </cfRule>
  </conditionalFormatting>
  <conditionalFormatting sqref="L5760">
    <cfRule type="expression" dxfId="1591" priority="9065" stopIfTrue="1">
      <formula>OR($L$5760="F/S",$L$5760="")</formula>
    </cfRule>
    <cfRule type="cellIs" dxfId="1590" priority="9066" stopIfTrue="1" operator="notEqual">
      <formula>0</formula>
    </cfRule>
  </conditionalFormatting>
  <conditionalFormatting sqref="O5760">
    <cfRule type="expression" dxfId="1589" priority="9067" stopIfTrue="1">
      <formula>OR($O$5760="F/S",$O$5760="")</formula>
    </cfRule>
    <cfRule type="cellIs" dxfId="1588" priority="9068" stopIfTrue="1" operator="notEqual">
      <formula>0</formula>
    </cfRule>
  </conditionalFormatting>
  <conditionalFormatting sqref="L5183">
    <cfRule type="expression" dxfId="1587" priority="9069" stopIfTrue="1">
      <formula>OR($L$5183="F/S",$L$5183="")</formula>
    </cfRule>
    <cfRule type="cellIs" dxfId="1586" priority="9070" stopIfTrue="1" operator="notEqual">
      <formula>0</formula>
    </cfRule>
  </conditionalFormatting>
  <conditionalFormatting sqref="O5183">
    <cfRule type="expression" dxfId="1585" priority="9071" stopIfTrue="1">
      <formula>OR($O$5183="F/S",$O$5183="")</formula>
    </cfRule>
    <cfRule type="cellIs" dxfId="1584" priority="9072" stopIfTrue="1" operator="notEqual">
      <formula>0</formula>
    </cfRule>
  </conditionalFormatting>
  <conditionalFormatting sqref="L5319">
    <cfRule type="expression" dxfId="1583" priority="9085" stopIfTrue="1">
      <formula>OR($L$5319="F/S",$L$5319="")</formula>
    </cfRule>
    <cfRule type="cellIs" dxfId="1582" priority="9086" stopIfTrue="1" operator="notEqual">
      <formula>0</formula>
    </cfRule>
  </conditionalFormatting>
  <conditionalFormatting sqref="O5319">
    <cfRule type="expression" dxfId="1581" priority="9087" stopIfTrue="1">
      <formula>OR($O$5319="F/S",$O$5319="")</formula>
    </cfRule>
    <cfRule type="cellIs" dxfId="1580" priority="9088" stopIfTrue="1" operator="notEqual">
      <formula>0</formula>
    </cfRule>
  </conditionalFormatting>
  <conditionalFormatting sqref="L5336">
    <cfRule type="expression" dxfId="1579" priority="9089" stopIfTrue="1">
      <formula>OR($L$5336="F/S",$L$5336="")</formula>
    </cfRule>
    <cfRule type="cellIs" dxfId="1578" priority="9090" stopIfTrue="1" operator="notEqual">
      <formula>0</formula>
    </cfRule>
  </conditionalFormatting>
  <conditionalFormatting sqref="O5336">
    <cfRule type="expression" dxfId="1577" priority="9091" stopIfTrue="1">
      <formula>OR($O$5336="F/S",$O$5336="")</formula>
    </cfRule>
    <cfRule type="cellIs" dxfId="1576" priority="9092" stopIfTrue="1" operator="notEqual">
      <formula>0</formula>
    </cfRule>
  </conditionalFormatting>
  <conditionalFormatting sqref="L5353">
    <cfRule type="expression" dxfId="1575" priority="9093" stopIfTrue="1">
      <formula>OR($L$5353="F/S",$L$5353="")</formula>
    </cfRule>
    <cfRule type="cellIs" dxfId="1574" priority="9094" stopIfTrue="1" operator="notEqual">
      <formula>0</formula>
    </cfRule>
  </conditionalFormatting>
  <conditionalFormatting sqref="O5353">
    <cfRule type="expression" dxfId="1573" priority="9095" stopIfTrue="1">
      <formula>OR($O$5353="F/S",$O$5353="")</formula>
    </cfRule>
    <cfRule type="cellIs" dxfId="1572" priority="9096" stopIfTrue="1" operator="notEqual">
      <formula>0</formula>
    </cfRule>
  </conditionalFormatting>
  <conditionalFormatting sqref="L5369">
    <cfRule type="expression" dxfId="1571" priority="9097" stopIfTrue="1">
      <formula>OR($L$5369="F/S",$L$5369="")</formula>
    </cfRule>
    <cfRule type="cellIs" dxfId="1570" priority="9098" stopIfTrue="1" operator="notEqual">
      <formula>0</formula>
    </cfRule>
  </conditionalFormatting>
  <conditionalFormatting sqref="O5369">
    <cfRule type="expression" dxfId="1569" priority="9099" stopIfTrue="1">
      <formula>OR($O$5369="F/S",$O$5369="")</formula>
    </cfRule>
    <cfRule type="cellIs" dxfId="1568" priority="9100" stopIfTrue="1" operator="notEqual">
      <formula>0</formula>
    </cfRule>
  </conditionalFormatting>
  <conditionalFormatting sqref="L5385">
    <cfRule type="expression" dxfId="1567" priority="9101" stopIfTrue="1">
      <formula>OR($L$5385="F/S",$L$5385="")</formula>
    </cfRule>
    <cfRule type="cellIs" dxfId="1566" priority="9102" stopIfTrue="1" operator="notEqual">
      <formula>0</formula>
    </cfRule>
  </conditionalFormatting>
  <conditionalFormatting sqref="O5385">
    <cfRule type="expression" dxfId="1565" priority="9103" stopIfTrue="1">
      <formula>OR($O$5385="F/S",$O$5385="")</formula>
    </cfRule>
    <cfRule type="cellIs" dxfId="1564" priority="9104" stopIfTrue="1" operator="notEqual">
      <formula>0</formula>
    </cfRule>
  </conditionalFormatting>
  <conditionalFormatting sqref="L5419">
    <cfRule type="expression" dxfId="1563" priority="9105" stopIfTrue="1">
      <formula>OR($L$5419="F/S",$L$5419="")</formula>
    </cfRule>
    <cfRule type="cellIs" dxfId="1562" priority="9106" stopIfTrue="1" operator="notEqual">
      <formula>0</formula>
    </cfRule>
  </conditionalFormatting>
  <conditionalFormatting sqref="O5419">
    <cfRule type="expression" dxfId="1561" priority="9107" stopIfTrue="1">
      <formula>OR($O$5419="F/S",$O$5419="")</formula>
    </cfRule>
    <cfRule type="cellIs" dxfId="1560" priority="9108" stopIfTrue="1" operator="notEqual">
      <formula>0</formula>
    </cfRule>
  </conditionalFormatting>
  <conditionalFormatting sqref="L5454">
    <cfRule type="expression" dxfId="1559" priority="9109" stopIfTrue="1">
      <formula>OR($L$5454="F/S",$L$5454="")</formula>
    </cfRule>
    <cfRule type="cellIs" dxfId="1558" priority="9110" stopIfTrue="1" operator="notEqual">
      <formula>0</formula>
    </cfRule>
  </conditionalFormatting>
  <conditionalFormatting sqref="O5454">
    <cfRule type="expression" dxfId="1557" priority="9111" stopIfTrue="1">
      <formula>OR($O$5454="F/S",$O$5454="")</formula>
    </cfRule>
    <cfRule type="cellIs" dxfId="1556" priority="9112" stopIfTrue="1" operator="notEqual">
      <formula>0</formula>
    </cfRule>
  </conditionalFormatting>
  <conditionalFormatting sqref="L5601">
    <cfRule type="expression" dxfId="1555" priority="9113" stopIfTrue="1">
      <formula>OR($L$5601="F/S",$L$5601="")</formula>
    </cfRule>
    <cfRule type="cellIs" dxfId="1554" priority="9114" stopIfTrue="1" operator="notEqual">
      <formula>0</formula>
    </cfRule>
  </conditionalFormatting>
  <conditionalFormatting sqref="O5601">
    <cfRule type="expression" dxfId="1553" priority="9115" stopIfTrue="1">
      <formula>OR($O$5601="F/S",$O$5601="")</formula>
    </cfRule>
    <cfRule type="cellIs" dxfId="1552" priority="9116" stopIfTrue="1" operator="notEqual">
      <formula>0</formula>
    </cfRule>
  </conditionalFormatting>
  <conditionalFormatting sqref="L5575">
    <cfRule type="expression" dxfId="1551" priority="9133" stopIfTrue="1">
      <formula>OR($L$5575="F/S",$L$5575="")</formula>
    </cfRule>
    <cfRule type="cellIs" dxfId="1550" priority="9134" stopIfTrue="1" operator="notEqual">
      <formula>0</formula>
    </cfRule>
  </conditionalFormatting>
  <conditionalFormatting sqref="O5575">
    <cfRule type="expression" dxfId="1549" priority="9135" stopIfTrue="1">
      <formula>OR($O$5575="F/S",$O$5575="")</formula>
    </cfRule>
    <cfRule type="cellIs" dxfId="1548" priority="9136" stopIfTrue="1" operator="notEqual">
      <formula>0</formula>
    </cfRule>
  </conditionalFormatting>
  <conditionalFormatting sqref="L5774">
    <cfRule type="expression" dxfId="1547" priority="9141" stopIfTrue="1">
      <formula>OR($L$5774="F/S",$L$5774="")</formula>
    </cfRule>
    <cfRule type="cellIs" dxfId="1546" priority="9142" stopIfTrue="1" operator="notEqual">
      <formula>0</formula>
    </cfRule>
  </conditionalFormatting>
  <conditionalFormatting sqref="O5774">
    <cfRule type="expression" dxfId="1545" priority="9143" stopIfTrue="1">
      <formula>OR($O$5774="F/S",$O$5774="")</formula>
    </cfRule>
    <cfRule type="cellIs" dxfId="1544" priority="9144" stopIfTrue="1" operator="notEqual">
      <formula>0</formula>
    </cfRule>
  </conditionalFormatting>
  <conditionalFormatting sqref="L5275">
    <cfRule type="expression" dxfId="1543" priority="9145" stopIfTrue="1">
      <formula>OR($L$5275="F/S",$L$5275="")</formula>
    </cfRule>
    <cfRule type="cellIs" dxfId="1542" priority="9146" stopIfTrue="1" operator="notEqual">
      <formula>0</formula>
    </cfRule>
  </conditionalFormatting>
  <conditionalFormatting sqref="O5275">
    <cfRule type="expression" dxfId="1541" priority="9147" stopIfTrue="1">
      <formula>OR($O$5275="F/S",$O$5275="")</formula>
    </cfRule>
    <cfRule type="cellIs" dxfId="1540" priority="9148" stopIfTrue="1" operator="notEqual">
      <formula>0</formula>
    </cfRule>
  </conditionalFormatting>
  <conditionalFormatting sqref="L5548">
    <cfRule type="expression" dxfId="1539" priority="9149" stopIfTrue="1">
      <formula>OR($L$5548="F/S",$L$5548="")</formula>
    </cfRule>
    <cfRule type="cellIs" dxfId="1538" priority="9150" stopIfTrue="1" operator="notEqual">
      <formula>0</formula>
    </cfRule>
  </conditionalFormatting>
  <conditionalFormatting sqref="O5548">
    <cfRule type="expression" dxfId="1537" priority="9151" stopIfTrue="1">
      <formula>OR($O$5548="F/S",$O$5548="")</formula>
    </cfRule>
    <cfRule type="cellIs" dxfId="1536" priority="9152" stopIfTrue="1" operator="notEqual">
      <formula>0</formula>
    </cfRule>
  </conditionalFormatting>
  <conditionalFormatting sqref="L5557">
    <cfRule type="expression" dxfId="1535" priority="9153" stopIfTrue="1">
      <formula>OR($L$5557="F/S",$L$5557="")</formula>
    </cfRule>
    <cfRule type="cellIs" dxfId="1534" priority="9154" stopIfTrue="1" operator="notEqual">
      <formula>0</formula>
    </cfRule>
  </conditionalFormatting>
  <conditionalFormatting sqref="O5557">
    <cfRule type="expression" dxfId="1533" priority="9155" stopIfTrue="1">
      <formula>OR($O$5557="F/S",$O$5557="")</formula>
    </cfRule>
    <cfRule type="cellIs" dxfId="1532" priority="9156" stopIfTrue="1" operator="notEqual">
      <formula>0</formula>
    </cfRule>
  </conditionalFormatting>
  <conditionalFormatting sqref="L5290">
    <cfRule type="expression" dxfId="1531" priority="9181" stopIfTrue="1">
      <formula>OR($L$5290="F/S",$L$5290="")</formula>
    </cfRule>
    <cfRule type="cellIs" dxfId="1530" priority="9182" stopIfTrue="1" operator="notEqual">
      <formula>0</formula>
    </cfRule>
  </conditionalFormatting>
  <conditionalFormatting sqref="O5290">
    <cfRule type="expression" dxfId="1529" priority="9183" stopIfTrue="1">
      <formula>OR($O$5290="F/S",$O$5290="")</formula>
    </cfRule>
    <cfRule type="cellIs" dxfId="1528" priority="9184" stopIfTrue="1" operator="notEqual">
      <formula>0</formula>
    </cfRule>
  </conditionalFormatting>
  <conditionalFormatting sqref="L5305">
    <cfRule type="expression" dxfId="1527" priority="9185" stopIfTrue="1">
      <formula>OR($L$5305="F/S",$L$5305="")</formula>
    </cfRule>
    <cfRule type="cellIs" dxfId="1526" priority="9186" stopIfTrue="1" operator="notEqual">
      <formula>0</formula>
    </cfRule>
  </conditionalFormatting>
  <conditionalFormatting sqref="O5305">
    <cfRule type="expression" dxfId="1525" priority="9187" stopIfTrue="1">
      <formula>OR($O$5305="F/S",$O$5305="")</formula>
    </cfRule>
    <cfRule type="cellIs" dxfId="1524" priority="9188" stopIfTrue="1" operator="notEqual">
      <formula>0</formula>
    </cfRule>
  </conditionalFormatting>
  <conditionalFormatting sqref="L5804">
    <cfRule type="expression" dxfId="1523" priority="9189" stopIfTrue="1">
      <formula>OR($L$5804="F/S",$L$5804="")</formula>
    </cfRule>
    <cfRule type="cellIs" dxfId="1522" priority="9190" stopIfTrue="1" operator="notEqual">
      <formula>0</formula>
    </cfRule>
  </conditionalFormatting>
  <conditionalFormatting sqref="O5804">
    <cfRule type="expression" dxfId="1521" priority="9191" stopIfTrue="1">
      <formula>OR($O$5804="F/S",$O$5804="")</formula>
    </cfRule>
    <cfRule type="cellIs" dxfId="1520" priority="9192" stopIfTrue="1" operator="notEqual">
      <formula>0</formula>
    </cfRule>
  </conditionalFormatting>
  <conditionalFormatting sqref="L5846">
    <cfRule type="expression" dxfId="1519" priority="9193" stopIfTrue="1">
      <formula>OR($L$5846="F/S",$L$5846="")</formula>
    </cfRule>
    <cfRule type="cellIs" dxfId="1518" priority="9194" stopIfTrue="1" operator="notEqual">
      <formula>0</formula>
    </cfRule>
  </conditionalFormatting>
  <conditionalFormatting sqref="O5846">
    <cfRule type="expression" dxfId="1517" priority="9195" stopIfTrue="1">
      <formula>OR($O$5846="F/S",$O$5846="")</formula>
    </cfRule>
    <cfRule type="cellIs" dxfId="1516" priority="9196" stopIfTrue="1" operator="notEqual">
      <formula>0</formula>
    </cfRule>
  </conditionalFormatting>
  <conditionalFormatting sqref="L5836">
    <cfRule type="expression" dxfId="1515" priority="9197" stopIfTrue="1">
      <formula>OR($L$5836="F/S",$L$5836="")</formula>
    </cfRule>
    <cfRule type="cellIs" dxfId="1514" priority="9198" stopIfTrue="1" operator="notEqual">
      <formula>0</formula>
    </cfRule>
  </conditionalFormatting>
  <conditionalFormatting sqref="O5836">
    <cfRule type="expression" dxfId="1513" priority="9199" stopIfTrue="1">
      <formula>OR($O$5836="F/S",$O$5836="")</formula>
    </cfRule>
    <cfRule type="cellIs" dxfId="1512" priority="9200" stopIfTrue="1" operator="notEqual">
      <formula>0</formula>
    </cfRule>
  </conditionalFormatting>
  <conditionalFormatting sqref="L5856">
    <cfRule type="expression" dxfId="1511" priority="9201" stopIfTrue="1">
      <formula>OR($L$5856="F/S",$L$5856="")</formula>
    </cfRule>
    <cfRule type="cellIs" dxfId="1510" priority="9202" stopIfTrue="1" operator="notEqual">
      <formula>0</formula>
    </cfRule>
  </conditionalFormatting>
  <conditionalFormatting sqref="O5856">
    <cfRule type="expression" dxfId="1509" priority="9203" stopIfTrue="1">
      <formula>OR($O$5856="F/S",$O$5856="")</formula>
    </cfRule>
    <cfRule type="cellIs" dxfId="1508" priority="9204" stopIfTrue="1" operator="notEqual">
      <formula>0</formula>
    </cfRule>
  </conditionalFormatting>
  <conditionalFormatting sqref="L4984">
    <cfRule type="expression" dxfId="1507" priority="9205" stopIfTrue="1">
      <formula>OR($L$4984="F/S",$L$4984="")</formula>
    </cfRule>
    <cfRule type="cellIs" dxfId="1506" priority="9206" stopIfTrue="1" operator="notEqual">
      <formula>0</formula>
    </cfRule>
  </conditionalFormatting>
  <conditionalFormatting sqref="O4984">
    <cfRule type="expression" dxfId="1505" priority="9207" stopIfTrue="1">
      <formula>OR($O$4984="F/S",$O$4984="")</formula>
    </cfRule>
    <cfRule type="cellIs" dxfId="1504" priority="9208" stopIfTrue="1" operator="notEqual">
      <formula>0</formula>
    </cfRule>
  </conditionalFormatting>
  <conditionalFormatting sqref="L4998">
    <cfRule type="expression" dxfId="1503" priority="9209" stopIfTrue="1">
      <formula>OR($L$4998="F/S",$L$4998="")</formula>
    </cfRule>
    <cfRule type="cellIs" dxfId="1502" priority="9210" stopIfTrue="1" operator="notEqual">
      <formula>0</formula>
    </cfRule>
  </conditionalFormatting>
  <conditionalFormatting sqref="O4998">
    <cfRule type="expression" dxfId="1501" priority="9211" stopIfTrue="1">
      <formula>OR($O$4998="F/S",$O$4998="")</formula>
    </cfRule>
    <cfRule type="cellIs" dxfId="1500" priority="9212" stopIfTrue="1" operator="notEqual">
      <formula>0</formula>
    </cfRule>
  </conditionalFormatting>
  <conditionalFormatting sqref="L5008">
    <cfRule type="expression" dxfId="1499" priority="9213" stopIfTrue="1">
      <formula>OR($L$5008="F/S",$L$5008="")</formula>
    </cfRule>
    <cfRule type="cellIs" dxfId="1498" priority="9214" stopIfTrue="1" operator="notEqual">
      <formula>0</formula>
    </cfRule>
  </conditionalFormatting>
  <conditionalFormatting sqref="O5008">
    <cfRule type="expression" dxfId="1497" priority="9215" stopIfTrue="1">
      <formula>OR($O$5008="F/S",$O$5008="")</formula>
    </cfRule>
    <cfRule type="cellIs" dxfId="1496" priority="9216" stopIfTrue="1" operator="notEqual">
      <formula>0</formula>
    </cfRule>
  </conditionalFormatting>
  <conditionalFormatting sqref="H2701">
    <cfRule type="expression" dxfId="1495" priority="9221">
      <formula>AND(H$2701&lt;&gt;0,H$2701&lt;&gt;"")</formula>
    </cfRule>
    <cfRule type="expression" dxfId="1494" priority="9222" stopIfTrue="1">
      <formula>H$2702&lt;&gt;"√"</formula>
    </cfRule>
  </conditionalFormatting>
  <conditionalFormatting sqref="P2701">
    <cfRule type="expression" dxfId="1493" priority="9223">
      <formula>AND(P$2701&lt;&gt;0,P$2701&lt;&gt;"")</formula>
    </cfRule>
    <cfRule type="expression" dxfId="1492" priority="9224" stopIfTrue="1">
      <formula>P$2702&lt;&gt;"√"</formula>
    </cfRule>
  </conditionalFormatting>
  <conditionalFormatting sqref="K2703">
    <cfRule type="expression" dxfId="1491" priority="9225">
      <formula>AND($K$2703&lt;&gt;0,$K$2703&lt;&gt;"")</formula>
    </cfRule>
    <cfRule type="expression" dxfId="1490" priority="9226" stopIfTrue="1">
      <formula>$L$2703&lt;&gt;"√"</formula>
    </cfRule>
  </conditionalFormatting>
  <conditionalFormatting sqref="H3109">
    <cfRule type="expression" dxfId="1489" priority="9227">
      <formula>AND(H$3109&lt;&gt;0,H$3109&lt;&gt;"")</formula>
    </cfRule>
    <cfRule type="expression" dxfId="1488" priority="9228" stopIfTrue="1">
      <formula>H$3110&lt;&gt;"√"</formula>
    </cfRule>
  </conditionalFormatting>
  <conditionalFormatting sqref="P3109">
    <cfRule type="expression" dxfId="1487" priority="9229">
      <formula>AND(P$3109&lt;&gt;0,P$3109&lt;&gt;"")</formula>
    </cfRule>
    <cfRule type="expression" dxfId="1486" priority="9230" stopIfTrue="1">
      <formula>P$3110&lt;&gt;"√"</formula>
    </cfRule>
  </conditionalFormatting>
  <conditionalFormatting sqref="K3111">
    <cfRule type="expression" dxfId="1485" priority="9231">
      <formula>AND($K$3111&lt;&gt;0,$K$3111&lt;&gt;"")</formula>
    </cfRule>
    <cfRule type="expression" dxfId="1484" priority="9232" stopIfTrue="1">
      <formula>$L$3111&lt;&gt;"√"</formula>
    </cfRule>
  </conditionalFormatting>
  <conditionalFormatting sqref="G4372:G4390">
    <cfRule type="expression" dxfId="1483" priority="9236">
      <formula>$D4372&gt;1</formula>
    </cfRule>
    <cfRule type="expression" dxfId="1482" priority="9237">
      <formula>$C4372="%IN"</formula>
    </cfRule>
    <cfRule type="expression" dxfId="1481" priority="9238" stopIfTrue="1">
      <formula>$E4372=0</formula>
    </cfRule>
  </conditionalFormatting>
  <conditionalFormatting sqref="G5871:G5876">
    <cfRule type="expression" dxfId="1480" priority="9239">
      <formula>$D5871&gt;1</formula>
    </cfRule>
    <cfRule type="expression" dxfId="1479" priority="9240">
      <formula>$C5871="%IN"</formula>
    </cfRule>
    <cfRule type="expression" dxfId="1478" priority="9241" stopIfTrue="1">
      <formula>$E5871=0</formula>
    </cfRule>
  </conditionalFormatting>
  <conditionalFormatting sqref="G5882:G5887">
    <cfRule type="expression" dxfId="1477" priority="9242">
      <formula>$D5882&gt;1</formula>
    </cfRule>
    <cfRule type="expression" dxfId="1476" priority="9243">
      <formula>$C5882="%IN"</formula>
    </cfRule>
    <cfRule type="expression" dxfId="1475" priority="9244" stopIfTrue="1">
      <formula>$E5882=0</formula>
    </cfRule>
  </conditionalFormatting>
  <conditionalFormatting sqref="G5893:G5898">
    <cfRule type="expression" dxfId="1474" priority="9245">
      <formula>$D5893&gt;1</formula>
    </cfRule>
    <cfRule type="expression" dxfId="1473" priority="9246">
      <formula>$C5893="%IN"</formula>
    </cfRule>
    <cfRule type="expression" dxfId="1472" priority="9247" stopIfTrue="1">
      <formula>$E5893=0</formula>
    </cfRule>
  </conditionalFormatting>
  <conditionalFormatting sqref="G5904:G5909">
    <cfRule type="expression" dxfId="1471" priority="9248">
      <formula>$D5904&gt;1</formula>
    </cfRule>
    <cfRule type="expression" dxfId="1470" priority="9249">
      <formula>$C5904="%IN"</formula>
    </cfRule>
    <cfRule type="expression" dxfId="1469" priority="9250" stopIfTrue="1">
      <formula>$E5904=0</formula>
    </cfRule>
  </conditionalFormatting>
  <conditionalFormatting sqref="G5915:G5920">
    <cfRule type="expression" dxfId="1468" priority="9251">
      <formula>$D5915&gt;1</formula>
    </cfRule>
    <cfRule type="expression" dxfId="1467" priority="9252">
      <formula>$C5915="%IN"</formula>
    </cfRule>
    <cfRule type="expression" dxfId="1466" priority="9253" stopIfTrue="1">
      <formula>$E5915=0</formula>
    </cfRule>
  </conditionalFormatting>
  <conditionalFormatting sqref="G5926:G5931">
    <cfRule type="expression" dxfId="1465" priority="9254">
      <formula>$D5926&gt;1</formula>
    </cfRule>
    <cfRule type="expression" dxfId="1464" priority="9255">
      <formula>$C5926="%IN"</formula>
    </cfRule>
    <cfRule type="expression" dxfId="1463" priority="9256" stopIfTrue="1">
      <formula>$E5926=0</formula>
    </cfRule>
  </conditionalFormatting>
  <conditionalFormatting sqref="G5937:G5942">
    <cfRule type="expression" dxfId="1462" priority="9257">
      <formula>$D5937&gt;1</formula>
    </cfRule>
    <cfRule type="expression" dxfId="1461" priority="9258">
      <formula>$C5937="%IN"</formula>
    </cfRule>
    <cfRule type="expression" dxfId="1460" priority="9259" stopIfTrue="1">
      <formula>$E5937=0</formula>
    </cfRule>
  </conditionalFormatting>
  <conditionalFormatting sqref="G5948:G5953">
    <cfRule type="expression" dxfId="1459" priority="9260">
      <formula>$D5948&gt;1</formula>
    </cfRule>
    <cfRule type="expression" dxfId="1458" priority="9261">
      <formula>$C5948="%IN"</formula>
    </cfRule>
    <cfRule type="expression" dxfId="1457" priority="9262" stopIfTrue="1">
      <formula>$E5948=0</formula>
    </cfRule>
  </conditionalFormatting>
  <conditionalFormatting sqref="G5959:G5972">
    <cfRule type="expression" dxfId="1456" priority="9263">
      <formula>$D5959&gt;1</formula>
    </cfRule>
    <cfRule type="expression" dxfId="1455" priority="9264">
      <formula>$C5959="%IN"</formula>
    </cfRule>
    <cfRule type="expression" dxfId="1454" priority="9265" stopIfTrue="1">
      <formula>$E5959=0</formula>
    </cfRule>
  </conditionalFormatting>
  <conditionalFormatting sqref="G5978:G5993">
    <cfRule type="expression" dxfId="1453" priority="9266">
      <formula>$D5978&gt;1</formula>
    </cfRule>
    <cfRule type="expression" dxfId="1452" priority="9267">
      <formula>$C5978="%IN"</formula>
    </cfRule>
    <cfRule type="expression" dxfId="1451" priority="9268" stopIfTrue="1">
      <formula>$E5978=0</formula>
    </cfRule>
  </conditionalFormatting>
  <conditionalFormatting sqref="G5999:G6004">
    <cfRule type="expression" dxfId="1450" priority="9269">
      <formula>$D5999&gt;1</formula>
    </cfRule>
    <cfRule type="expression" dxfId="1449" priority="9270">
      <formula>$C5999="%IN"</formula>
    </cfRule>
    <cfRule type="expression" dxfId="1448" priority="9271" stopIfTrue="1">
      <formula>$E5999=0</formula>
    </cfRule>
  </conditionalFormatting>
  <conditionalFormatting sqref="G6010:G6016">
    <cfRule type="expression" dxfId="1447" priority="9272">
      <formula>$D6010&gt;1</formula>
    </cfRule>
    <cfRule type="expression" dxfId="1446" priority="9273">
      <formula>$C6010="%IN"</formula>
    </cfRule>
    <cfRule type="expression" dxfId="1445" priority="9274" stopIfTrue="1">
      <formula>$E6010=0</formula>
    </cfRule>
  </conditionalFormatting>
  <conditionalFormatting sqref="G6022:G6028">
    <cfRule type="expression" dxfId="1444" priority="9275">
      <formula>$D6022&gt;1</formula>
    </cfRule>
    <cfRule type="expression" dxfId="1443" priority="9276">
      <formula>$C6022="%IN"</formula>
    </cfRule>
    <cfRule type="expression" dxfId="1442" priority="9277" stopIfTrue="1">
      <formula>$E6022=0</formula>
    </cfRule>
  </conditionalFormatting>
  <conditionalFormatting sqref="G6034:G6050">
    <cfRule type="expression" dxfId="1441" priority="9278">
      <formula>$D6034&gt;1</formula>
    </cfRule>
    <cfRule type="expression" dxfId="1440" priority="9279">
      <formula>$C6034="%IN"</formula>
    </cfRule>
    <cfRule type="expression" dxfId="1439" priority="9280" stopIfTrue="1">
      <formula>$E6034=0</formula>
    </cfRule>
  </conditionalFormatting>
  <conditionalFormatting sqref="G6057:G6060">
    <cfRule type="expression" dxfId="1438" priority="9281">
      <formula>$D6057&gt;1</formula>
    </cfRule>
    <cfRule type="expression" dxfId="1437" priority="9282">
      <formula>$C6057="%IN"</formula>
    </cfRule>
    <cfRule type="expression" dxfId="1436" priority="9283" stopIfTrue="1">
      <formula>$E6057=0</formula>
    </cfRule>
  </conditionalFormatting>
  <conditionalFormatting sqref="G6066:G6071">
    <cfRule type="expression" dxfId="1435" priority="9284">
      <formula>$D6066&gt;1</formula>
    </cfRule>
    <cfRule type="expression" dxfId="1434" priority="9285">
      <formula>$C6066="%IN"</formula>
    </cfRule>
    <cfRule type="expression" dxfId="1433" priority="9286" stopIfTrue="1">
      <formula>$E6066=0</formula>
    </cfRule>
  </conditionalFormatting>
  <conditionalFormatting sqref="G6077:G6080">
    <cfRule type="expression" dxfId="1432" priority="9287">
      <formula>$D6077&gt;1</formula>
    </cfRule>
    <cfRule type="expression" dxfId="1431" priority="9288">
      <formula>$C6077="%IN"</formula>
    </cfRule>
    <cfRule type="expression" dxfId="1430" priority="9289" stopIfTrue="1">
      <formula>$E6077=0</formula>
    </cfRule>
  </conditionalFormatting>
  <conditionalFormatting sqref="G6086:G6089">
    <cfRule type="expression" dxfId="1429" priority="9290">
      <formula>$D6086&gt;1</formula>
    </cfRule>
    <cfRule type="expression" dxfId="1428" priority="9291">
      <formula>$C6086="%IN"</formula>
    </cfRule>
    <cfRule type="expression" dxfId="1427" priority="9292" stopIfTrue="1">
      <formula>$E6086=0</formula>
    </cfRule>
  </conditionalFormatting>
  <conditionalFormatting sqref="G6109:G6113">
    <cfRule type="expression" dxfId="1426" priority="9296">
      <formula>$D6109&gt;1</formula>
    </cfRule>
    <cfRule type="expression" dxfId="1425" priority="9297">
      <formula>$C6109="%IN"</formula>
    </cfRule>
    <cfRule type="expression" dxfId="1424" priority="9298" stopIfTrue="1">
      <formula>$E6109=0</formula>
    </cfRule>
  </conditionalFormatting>
  <conditionalFormatting sqref="G6119:G6122">
    <cfRule type="expression" dxfId="1423" priority="9299">
      <formula>$D6119&gt;1</formula>
    </cfRule>
    <cfRule type="expression" dxfId="1422" priority="9300">
      <formula>$C6119="%IN"</formula>
    </cfRule>
    <cfRule type="expression" dxfId="1421" priority="9301" stopIfTrue="1">
      <formula>$E6119=0</formula>
    </cfRule>
  </conditionalFormatting>
  <conditionalFormatting sqref="G6128:G6133">
    <cfRule type="expression" dxfId="1420" priority="9302">
      <formula>$D6128&gt;1</formula>
    </cfRule>
    <cfRule type="expression" dxfId="1419" priority="9303">
      <formula>$C6128="%IN"</formula>
    </cfRule>
    <cfRule type="expression" dxfId="1418" priority="9304" stopIfTrue="1">
      <formula>$E6128=0</formula>
    </cfRule>
  </conditionalFormatting>
  <conditionalFormatting sqref="G6139:G6142">
    <cfRule type="expression" dxfId="1417" priority="9305">
      <formula>$D6139&gt;1</formula>
    </cfRule>
    <cfRule type="expression" dxfId="1416" priority="9306">
      <formula>$C6139="%IN"</formula>
    </cfRule>
    <cfRule type="expression" dxfId="1415" priority="9307" stopIfTrue="1">
      <formula>$E6139=0</formula>
    </cfRule>
  </conditionalFormatting>
  <conditionalFormatting sqref="G6148:G6151">
    <cfRule type="expression" dxfId="1414" priority="9308">
      <formula>$D6148&gt;1</formula>
    </cfRule>
    <cfRule type="expression" dxfId="1413" priority="9309">
      <formula>$C6148="%IN"</formula>
    </cfRule>
    <cfRule type="expression" dxfId="1412" priority="9310" stopIfTrue="1">
      <formula>$E6148=0</formula>
    </cfRule>
  </conditionalFormatting>
  <conditionalFormatting sqref="G6157:G6160">
    <cfRule type="expression" dxfId="1411" priority="9311">
      <formula>$D6157&gt;1</formula>
    </cfRule>
    <cfRule type="expression" dxfId="1410" priority="9312">
      <formula>$C6157="%IN"</formula>
    </cfRule>
    <cfRule type="expression" dxfId="1409" priority="9313" stopIfTrue="1">
      <formula>$E6157=0</formula>
    </cfRule>
  </conditionalFormatting>
  <conditionalFormatting sqref="G6188:G6209">
    <cfRule type="expression" dxfId="1408" priority="9317">
      <formula>$D6188&gt;1</formula>
    </cfRule>
    <cfRule type="expression" dxfId="1407" priority="9318">
      <formula>$C6188="%IN"</formula>
    </cfRule>
    <cfRule type="expression" dxfId="1406" priority="9319" stopIfTrue="1">
      <formula>$E6188=0</formula>
    </cfRule>
  </conditionalFormatting>
  <conditionalFormatting sqref="G6215:G6238">
    <cfRule type="expression" dxfId="1405" priority="9320">
      <formula>$D6215&gt;1</formula>
    </cfRule>
    <cfRule type="expression" dxfId="1404" priority="9321">
      <formula>$C6215="%IN"</formula>
    </cfRule>
    <cfRule type="expression" dxfId="1403" priority="9322" stopIfTrue="1">
      <formula>$E6215=0</formula>
    </cfRule>
  </conditionalFormatting>
  <conditionalFormatting sqref="G6244:G6247">
    <cfRule type="expression" dxfId="1402" priority="9323">
      <formula>$D6244&gt;1</formula>
    </cfRule>
    <cfRule type="expression" dxfId="1401" priority="9324">
      <formula>$C6244="%IN"</formula>
    </cfRule>
    <cfRule type="expression" dxfId="1400" priority="9325" stopIfTrue="1">
      <formula>$E6244=0</formula>
    </cfRule>
  </conditionalFormatting>
  <conditionalFormatting sqref="G13:G17">
    <cfRule type="expression" dxfId="1399" priority="9326">
      <formula>$D13&gt;1</formula>
    </cfRule>
    <cfRule type="expression" dxfId="1398" priority="9327">
      <formula>$C13="%IN"</formula>
    </cfRule>
    <cfRule type="expression" dxfId="1397" priority="9328" stopIfTrue="1">
      <formula>$E13=0</formula>
    </cfRule>
  </conditionalFormatting>
  <conditionalFormatting sqref="I448">
    <cfRule type="expression" dxfId="1396" priority="421" stopIfTrue="1">
      <formula>$I448="适用"</formula>
    </cfRule>
    <cfRule type="expression" dxfId="1395" priority="422" stopIfTrue="1">
      <formula>$I448="不适用"</formula>
    </cfRule>
  </conditionalFormatting>
  <conditionalFormatting sqref="I762">
    <cfRule type="expression" dxfId="1394" priority="404" stopIfTrue="1">
      <formula>$I762="适用"</formula>
    </cfRule>
    <cfRule type="expression" dxfId="1393" priority="405" stopIfTrue="1">
      <formula>$I762="不适用"</formula>
    </cfRule>
  </conditionalFormatting>
  <conditionalFormatting sqref="Q762:Q777">
    <cfRule type="expression" dxfId="1392" priority="403" stopIfTrue="1">
      <formula>$Q762="请输入"</formula>
    </cfRule>
  </conditionalFormatting>
  <conditionalFormatting sqref="L1057">
    <cfRule type="expression" dxfId="1391" priority="9335" stopIfTrue="1">
      <formula>OR($L$1057="F/S",$L$1057="")</formula>
    </cfRule>
    <cfRule type="cellIs" dxfId="1390" priority="9336" stopIfTrue="1" operator="notEqual">
      <formula>0</formula>
    </cfRule>
  </conditionalFormatting>
  <conditionalFormatting sqref="O1057">
    <cfRule type="expression" dxfId="1389" priority="9337" stopIfTrue="1">
      <formula>OR($O$1057="F/S",$O$1057="")</formula>
    </cfRule>
    <cfRule type="cellIs" dxfId="1388" priority="9338" stopIfTrue="1" operator="notEqual">
      <formula>0</formula>
    </cfRule>
  </conditionalFormatting>
  <conditionalFormatting sqref="G4987:G4996">
    <cfRule type="expression" dxfId="1387" priority="9342">
      <formula>$D4987&gt;1</formula>
    </cfRule>
    <cfRule type="expression" dxfId="1386" priority="9343">
      <formula>$C4987="%IN"</formula>
    </cfRule>
    <cfRule type="expression" dxfId="1385" priority="9344" stopIfTrue="1">
      <formula>$E4987=0</formula>
    </cfRule>
  </conditionalFormatting>
  <conditionalFormatting sqref="G6095:G6103">
    <cfRule type="expression" dxfId="1384" priority="9345">
      <formula>$D6095&gt;1</formula>
    </cfRule>
    <cfRule type="expression" dxfId="1383" priority="9346">
      <formula>$C6095="%IN"</formula>
    </cfRule>
    <cfRule type="expression" dxfId="1382" priority="9347" stopIfTrue="1">
      <formula>$E6095=0</formula>
    </cfRule>
  </conditionalFormatting>
  <conditionalFormatting sqref="G5390:G5417">
    <cfRule type="expression" dxfId="1381" priority="9348">
      <formula>$D5390&gt;1</formula>
    </cfRule>
    <cfRule type="expression" dxfId="1380" priority="9349">
      <formula>$C5390="%IN"</formula>
    </cfRule>
    <cfRule type="expression" dxfId="1379" priority="9350" stopIfTrue="1">
      <formula>$E5390=0</formula>
    </cfRule>
  </conditionalFormatting>
  <conditionalFormatting sqref="G5424:G5451">
    <cfRule type="expression" dxfId="1378" priority="9351">
      <formula>$D5424&gt;1</formula>
    </cfRule>
    <cfRule type="expression" dxfId="1377" priority="9352">
      <formula>$C5424="%IN"</formula>
    </cfRule>
    <cfRule type="expression" dxfId="1376" priority="9353" stopIfTrue="1">
      <formula>$E5424=0</formula>
    </cfRule>
  </conditionalFormatting>
  <conditionalFormatting sqref="G3735">
    <cfRule type="expression" dxfId="1375" priority="386">
      <formula>$D3735&gt;1</formula>
    </cfRule>
    <cfRule type="expression" dxfId="1374" priority="387">
      <formula>$C3735="%IN"</formula>
    </cfRule>
    <cfRule type="expression" dxfId="1373" priority="388" stopIfTrue="1">
      <formula>$E3735=0</formula>
    </cfRule>
  </conditionalFormatting>
  <conditionalFormatting sqref="L1079:L1100">
    <cfRule type="expression" dxfId="1372" priority="9357" stopIfTrue="1">
      <formula>OR($L$1079="F/S",$L$1079="")</formula>
    </cfRule>
    <cfRule type="cellIs" dxfId="1371" priority="9358" stopIfTrue="1" operator="notEqual">
      <formula>0</formula>
    </cfRule>
  </conditionalFormatting>
  <conditionalFormatting sqref="O1079:O1100">
    <cfRule type="expression" dxfId="1370" priority="9359" stopIfTrue="1">
      <formula>OR($O$1079="F/S",$O$1079="")</formula>
    </cfRule>
    <cfRule type="cellIs" dxfId="1369" priority="9360" stopIfTrue="1" operator="notEqual">
      <formula>0</formula>
    </cfRule>
  </conditionalFormatting>
  <conditionalFormatting sqref="L1101:L1115">
    <cfRule type="expression" dxfId="1368" priority="9364" stopIfTrue="1">
      <formula>OR($L$1101="F/S",$L$1101="")</formula>
    </cfRule>
    <cfRule type="cellIs" dxfId="1367" priority="9365" stopIfTrue="1" operator="notEqual">
      <formula>0</formula>
    </cfRule>
  </conditionalFormatting>
  <conditionalFormatting sqref="O1101:O1115">
    <cfRule type="expression" dxfId="1366" priority="9366" stopIfTrue="1">
      <formula>OR($O$1101="F/S",$O$1101="")</formula>
    </cfRule>
    <cfRule type="cellIs" dxfId="1365" priority="9367" stopIfTrue="1" operator="notEqual">
      <formula>0</formula>
    </cfRule>
  </conditionalFormatting>
  <conditionalFormatting sqref="L415">
    <cfRule type="expression" dxfId="1364" priority="9377" stopIfTrue="1">
      <formula>OR($L$415="F/S",$L$415="")</formula>
    </cfRule>
    <cfRule type="cellIs" dxfId="1363" priority="9378" stopIfTrue="1" operator="notEqual">
      <formula>0</formula>
    </cfRule>
  </conditionalFormatting>
  <conditionalFormatting sqref="O415">
    <cfRule type="expression" dxfId="1362" priority="9379" stopIfTrue="1">
      <formula>OR($O$415="F/S",$O$415="")</formula>
    </cfRule>
    <cfRule type="cellIs" dxfId="1361" priority="9380" stopIfTrue="1" operator="notEqual">
      <formula>0</formula>
    </cfRule>
  </conditionalFormatting>
  <conditionalFormatting sqref="I415">
    <cfRule type="expression" dxfId="1360" priority="370" stopIfTrue="1">
      <formula>$I415="适用"</formula>
    </cfRule>
    <cfRule type="expression" dxfId="1359" priority="371" stopIfTrue="1">
      <formula>$I415="不适用"</formula>
    </cfRule>
  </conditionalFormatting>
  <conditionalFormatting sqref="Q415">
    <cfRule type="expression" dxfId="1358" priority="369" stopIfTrue="1">
      <formula>$Q415="请输入"</formula>
    </cfRule>
  </conditionalFormatting>
  <conditionalFormatting sqref="G3457:G3462">
    <cfRule type="expression" dxfId="1357" priority="9384">
      <formula>$D3457&gt;1</formula>
    </cfRule>
    <cfRule type="expression" dxfId="1356" priority="9385">
      <formula>$C3457="%IN"</formula>
    </cfRule>
    <cfRule type="expression" dxfId="1355" priority="9386" stopIfTrue="1">
      <formula>$E3457=0</formula>
    </cfRule>
  </conditionalFormatting>
  <conditionalFormatting sqref="G3842:G3847">
    <cfRule type="expression" dxfId="1354" priority="9390">
      <formula>$D3842&gt;1</formula>
    </cfRule>
    <cfRule type="expression" dxfId="1353" priority="9391">
      <formula>$C3842="%IN"</formula>
    </cfRule>
    <cfRule type="expression" dxfId="1352" priority="9392" stopIfTrue="1">
      <formula>$E3842=0</formula>
    </cfRule>
  </conditionalFormatting>
  <conditionalFormatting sqref="G62:G67">
    <cfRule type="expression" dxfId="1351" priority="9393">
      <formula>$D62&gt;1</formula>
    </cfRule>
    <cfRule type="expression" dxfId="1350" priority="9394">
      <formula>$C62="%IN"</formula>
    </cfRule>
    <cfRule type="expression" dxfId="1349" priority="9395" stopIfTrue="1">
      <formula>$E62=0</formula>
    </cfRule>
  </conditionalFormatting>
  <conditionalFormatting sqref="G671:G676">
    <cfRule type="expression" dxfId="1348" priority="9396">
      <formula>$D671&gt;1</formula>
    </cfRule>
    <cfRule type="expression" dxfId="1347" priority="9397">
      <formula>$C671="%IN"</formula>
    </cfRule>
    <cfRule type="expression" dxfId="1346" priority="9398" stopIfTrue="1">
      <formula>$E671=0</formula>
    </cfRule>
  </conditionalFormatting>
  <conditionalFormatting sqref="G3373:G3378">
    <cfRule type="expression" dxfId="1345" priority="9399">
      <formula>$D3373&gt;1</formula>
    </cfRule>
    <cfRule type="expression" dxfId="1344" priority="9400">
      <formula>$C3373="%IN"</formula>
    </cfRule>
    <cfRule type="expression" dxfId="1343" priority="9401" stopIfTrue="1">
      <formula>$E3373=0</formula>
    </cfRule>
  </conditionalFormatting>
  <conditionalFormatting sqref="G3484:G3489">
    <cfRule type="expression" dxfId="1342" priority="9402">
      <formula>$D3484&gt;1</formula>
    </cfRule>
    <cfRule type="expression" dxfId="1341" priority="9403">
      <formula>$C3484="%IN"</formula>
    </cfRule>
    <cfRule type="expression" dxfId="1340" priority="9404" stopIfTrue="1">
      <formula>$E3484=0</formula>
    </cfRule>
  </conditionalFormatting>
  <conditionalFormatting sqref="G3879:G3884">
    <cfRule type="expression" dxfId="1339" priority="9405">
      <formula>$D3879&gt;1</formula>
    </cfRule>
    <cfRule type="expression" dxfId="1338" priority="9406">
      <formula>$C3879="%IN"</formula>
    </cfRule>
    <cfRule type="expression" dxfId="1337" priority="9407" stopIfTrue="1">
      <formula>$E3879=0</formula>
    </cfRule>
  </conditionalFormatting>
  <conditionalFormatting sqref="G2194:G2199">
    <cfRule type="expression" dxfId="1336" priority="9408">
      <formula>$D2194&gt;1</formula>
    </cfRule>
    <cfRule type="expression" dxfId="1335" priority="9409">
      <formula>$C2194="%IN"</formula>
    </cfRule>
    <cfRule type="expression" dxfId="1334" priority="9410" stopIfTrue="1">
      <formula>$E2194=0</formula>
    </cfRule>
  </conditionalFormatting>
  <conditionalFormatting sqref="G4139:G4144">
    <cfRule type="expression" dxfId="1333" priority="9411">
      <formula>$D4139&gt;1</formula>
    </cfRule>
    <cfRule type="expression" dxfId="1332" priority="9412">
      <formula>$C4139="%IN"</formula>
    </cfRule>
    <cfRule type="expression" dxfId="1331" priority="9413" stopIfTrue="1">
      <formula>$E4139=0</formula>
    </cfRule>
  </conditionalFormatting>
  <conditionalFormatting sqref="G4160:G4165">
    <cfRule type="expression" dxfId="1330" priority="9414">
      <formula>$D4160&gt;1</formula>
    </cfRule>
    <cfRule type="expression" dxfId="1329" priority="9415">
      <formula>$C4160="%IN"</formula>
    </cfRule>
    <cfRule type="expression" dxfId="1328" priority="9416" stopIfTrue="1">
      <formula>$E4160=0</formula>
    </cfRule>
  </conditionalFormatting>
  <conditionalFormatting sqref="G2404:G2409">
    <cfRule type="expression" dxfId="1327" priority="9417">
      <formula>$D2404&gt;1</formula>
    </cfRule>
    <cfRule type="expression" dxfId="1326" priority="9418">
      <formula>$C2404="%IN"</formula>
    </cfRule>
    <cfRule type="expression" dxfId="1325" priority="9419" stopIfTrue="1">
      <formula>$E2404=0</formula>
    </cfRule>
  </conditionalFormatting>
  <conditionalFormatting sqref="L306:L307 L310:L315">
    <cfRule type="expression" dxfId="1324" priority="9420" stopIfTrue="1">
      <formula>OR($L$306="F/S",$L$306="")</formula>
    </cfRule>
    <cfRule type="cellIs" dxfId="1323" priority="9421" stopIfTrue="1" operator="notEqual">
      <formula>0</formula>
    </cfRule>
  </conditionalFormatting>
  <conditionalFormatting sqref="O306:O315">
    <cfRule type="expression" dxfId="1322" priority="9422" stopIfTrue="1">
      <formula>OR($O$306="F/S",$O$306="")</formula>
    </cfRule>
    <cfRule type="cellIs" dxfId="1321" priority="9423" stopIfTrue="1" operator="notEqual">
      <formula>0</formula>
    </cfRule>
  </conditionalFormatting>
  <conditionalFormatting sqref="I306">
    <cfRule type="expression" dxfId="1320" priority="351" stopIfTrue="1">
      <formula>$I306="适用"</formula>
    </cfRule>
    <cfRule type="expression" dxfId="1319" priority="352" stopIfTrue="1">
      <formula>$I306="不适用"</formula>
    </cfRule>
  </conditionalFormatting>
  <conditionalFormatting sqref="G309:G314">
    <cfRule type="expression" dxfId="1318" priority="9424">
      <formula>$D309&gt;1</formula>
    </cfRule>
    <cfRule type="expression" dxfId="1317" priority="9425">
      <formula>$C309="%IN"</formula>
    </cfRule>
    <cfRule type="expression" dxfId="1316" priority="9426" stopIfTrue="1">
      <formula>$E309=0</formula>
    </cfRule>
  </conditionalFormatting>
  <conditionalFormatting sqref="L2191:L2192 L2195:L2200">
    <cfRule type="expression" dxfId="1315" priority="9427" stopIfTrue="1">
      <formula>OR($L$2191="F/S",$L$2191="")</formula>
    </cfRule>
    <cfRule type="cellIs" dxfId="1314" priority="9428" stopIfTrue="1" operator="notEqual">
      <formula>0</formula>
    </cfRule>
  </conditionalFormatting>
  <conditionalFormatting sqref="O2191:O2200">
    <cfRule type="expression" dxfId="1313" priority="9429" stopIfTrue="1">
      <formula>OR($O$2191="F/S",$O$2191="")</formula>
    </cfRule>
    <cfRule type="cellIs" dxfId="1312" priority="9430" stopIfTrue="1" operator="notEqual">
      <formula>0</formula>
    </cfRule>
  </conditionalFormatting>
  <conditionalFormatting sqref="L4096:L4098 L4100:L4105">
    <cfRule type="expression" dxfId="1311" priority="9431" stopIfTrue="1">
      <formula>OR($L$4096="F/S",$L$4096="")</formula>
    </cfRule>
    <cfRule type="cellIs" dxfId="1310" priority="9432" stopIfTrue="1" operator="notEqual">
      <formula>0</formula>
    </cfRule>
  </conditionalFormatting>
  <conditionalFormatting sqref="O4096:O4105">
    <cfRule type="expression" dxfId="1309" priority="9433" stopIfTrue="1">
      <formula>OR($O$4096="F/S",$O$4096="")</formula>
    </cfRule>
    <cfRule type="cellIs" dxfId="1308" priority="9434" stopIfTrue="1" operator="notEqual">
      <formula>0</formula>
    </cfRule>
  </conditionalFormatting>
  <conditionalFormatting sqref="I4096">
    <cfRule type="expression" dxfId="1307" priority="331" stopIfTrue="1">
      <formula>$I4096="适用"</formula>
    </cfRule>
    <cfRule type="expression" dxfId="1306" priority="332" stopIfTrue="1">
      <formula>$I4096="不适用"</formula>
    </cfRule>
  </conditionalFormatting>
  <conditionalFormatting sqref="G4099:G4104">
    <cfRule type="expression" dxfId="1305" priority="9435">
      <formula>$D4099&gt;1</formula>
    </cfRule>
    <cfRule type="expression" dxfId="1304" priority="9436">
      <formula>$C4099="%IN"</formula>
    </cfRule>
    <cfRule type="expression" dxfId="1303" priority="9437" stopIfTrue="1">
      <formula>$E4099=0</formula>
    </cfRule>
  </conditionalFormatting>
  <conditionalFormatting sqref="G681:G686">
    <cfRule type="expression" dxfId="1302" priority="9438">
      <formula>$D681&gt;1</formula>
    </cfRule>
    <cfRule type="expression" dxfId="1301" priority="9439">
      <formula>$C681="%IN"</formula>
    </cfRule>
    <cfRule type="expression" dxfId="1300" priority="9440" stopIfTrue="1">
      <formula>$E681=0</formula>
    </cfRule>
  </conditionalFormatting>
  <conditionalFormatting sqref="G1590:G1595">
    <cfRule type="expression" dxfId="1299" priority="9444">
      <formula>$D1590&gt;1</formula>
    </cfRule>
    <cfRule type="expression" dxfId="1298" priority="9445">
      <formula>$C1590="%IN"</formula>
    </cfRule>
    <cfRule type="expression" dxfId="1297" priority="9446" stopIfTrue="1">
      <formula>$E1590=0</formula>
    </cfRule>
  </conditionalFormatting>
  <conditionalFormatting sqref="G1600:G1605">
    <cfRule type="expression" dxfId="1296" priority="9447">
      <formula>$D1600&gt;1</formula>
    </cfRule>
    <cfRule type="expression" dxfId="1295" priority="9448">
      <formula>$C1600="%IN"</formula>
    </cfRule>
    <cfRule type="expression" dxfId="1294" priority="9449" stopIfTrue="1">
      <formula>$E1600=0</formula>
    </cfRule>
  </conditionalFormatting>
  <conditionalFormatting sqref="G3494:G3499">
    <cfRule type="expression" dxfId="1293" priority="9450">
      <formula>$D3494&gt;1</formula>
    </cfRule>
    <cfRule type="expression" dxfId="1292" priority="9451">
      <formula>$C3494="%IN"</formula>
    </cfRule>
    <cfRule type="expression" dxfId="1291" priority="9452" stopIfTrue="1">
      <formula>$E3494=0</formula>
    </cfRule>
  </conditionalFormatting>
  <conditionalFormatting sqref="G3591:G3596">
    <cfRule type="expression" dxfId="1290" priority="9453">
      <formula>$D3591&gt;1</formula>
    </cfRule>
    <cfRule type="expression" dxfId="1289" priority="9454">
      <formula>$C3591="%IN"</formula>
    </cfRule>
    <cfRule type="expression" dxfId="1288" priority="9455" stopIfTrue="1">
      <formula>$E3591=0</formula>
    </cfRule>
  </conditionalFormatting>
  <conditionalFormatting sqref="G3889:G3894">
    <cfRule type="expression" dxfId="1287" priority="9456">
      <formula>$D3889&gt;1</formula>
    </cfRule>
    <cfRule type="expression" dxfId="1286" priority="9457">
      <formula>$C3889="%IN"</formula>
    </cfRule>
    <cfRule type="expression" dxfId="1285" priority="9458" stopIfTrue="1">
      <formula>$E3889=0</formula>
    </cfRule>
  </conditionalFormatting>
  <conditionalFormatting sqref="I2530">
    <cfRule type="expression" dxfId="1284" priority="321" stopIfTrue="1">
      <formula>$I2530="适用"</formula>
    </cfRule>
    <cfRule type="expression" dxfId="1283" priority="322" stopIfTrue="1">
      <formula>$I2530="不适用"</formula>
    </cfRule>
  </conditionalFormatting>
  <conditionalFormatting sqref="Q2530:Q2555">
    <cfRule type="expression" dxfId="1282" priority="320" stopIfTrue="1">
      <formula>$Q2530="请输入"</formula>
    </cfRule>
  </conditionalFormatting>
  <conditionalFormatting sqref="L2543:L2544 L2546:L2555">
    <cfRule type="expression" dxfId="1281" priority="9462" stopIfTrue="1">
      <formula>OR($L$2543="F/S",$L$2543="")</formula>
    </cfRule>
    <cfRule type="cellIs" dxfId="1280" priority="9463" stopIfTrue="1" operator="notEqual">
      <formula>0</formula>
    </cfRule>
  </conditionalFormatting>
  <conditionalFormatting sqref="O2543:O2555">
    <cfRule type="expression" dxfId="1279" priority="9464" stopIfTrue="1">
      <formula>OR($O$2543="F/S",$O$2543="")</formula>
    </cfRule>
    <cfRule type="cellIs" dxfId="1278" priority="9465" stopIfTrue="1" operator="notEqual">
      <formula>0</formula>
    </cfRule>
  </conditionalFormatting>
  <conditionalFormatting sqref="I2543">
    <cfRule type="expression" dxfId="1277" priority="314" stopIfTrue="1">
      <formula>$I2543="适用"</formula>
    </cfRule>
    <cfRule type="expression" dxfId="1276" priority="315" stopIfTrue="1">
      <formula>$I2543="不适用"</formula>
    </cfRule>
  </conditionalFormatting>
  <conditionalFormatting sqref="Q2543:Q2555">
    <cfRule type="expression" dxfId="1275" priority="313" stopIfTrue="1">
      <formula>$Q2543="请输入"</formula>
    </cfRule>
  </conditionalFormatting>
  <conditionalFormatting sqref="G2533:G2541">
    <cfRule type="expression" dxfId="1274" priority="9469">
      <formula>$D2533&gt;1</formula>
    </cfRule>
    <cfRule type="expression" dxfId="1273" priority="9470">
      <formula>$C2533="%IN"</formula>
    </cfRule>
    <cfRule type="expression" dxfId="1272" priority="9471" stopIfTrue="1">
      <formula>$E2533=0</formula>
    </cfRule>
  </conditionalFormatting>
  <conditionalFormatting sqref="G2546:G2554">
    <cfRule type="expression" dxfId="1271" priority="9472">
      <formula>$D2546&gt;1</formula>
    </cfRule>
    <cfRule type="expression" dxfId="1270" priority="9473">
      <formula>$C2546="%IN"</formula>
    </cfRule>
    <cfRule type="expression" dxfId="1269" priority="9474" stopIfTrue="1">
      <formula>$E2546=0</formula>
    </cfRule>
  </conditionalFormatting>
  <conditionalFormatting sqref="L1502:L1509 L1491:L1493 L1496:L1497">
    <cfRule type="expression" dxfId="1268" priority="9478" stopIfTrue="1">
      <formula>OR($L$1491="F/S",$L$1491="")</formula>
    </cfRule>
    <cfRule type="cellIs" dxfId="1267" priority="9479" stopIfTrue="1" operator="notEqual">
      <formula>0</formula>
    </cfRule>
  </conditionalFormatting>
  <conditionalFormatting sqref="O1491:O1509">
    <cfRule type="expression" dxfId="1266" priority="9480" stopIfTrue="1">
      <formula>OR($O$1491="F/S",$O$1491="")</formula>
    </cfRule>
    <cfRule type="cellIs" dxfId="1265" priority="9481" stopIfTrue="1" operator="notEqual">
      <formula>0</formula>
    </cfRule>
  </conditionalFormatting>
  <conditionalFormatting sqref="L2412">
    <cfRule type="expression" dxfId="1264" priority="9485" stopIfTrue="1">
      <formula>OR($L$2412="F/S",$L$2412="")</formula>
    </cfRule>
    <cfRule type="cellIs" dxfId="1263" priority="9486" stopIfTrue="1" operator="notEqual">
      <formula>0</formula>
    </cfRule>
  </conditionalFormatting>
  <conditionalFormatting sqref="O2412:O2430">
    <cfRule type="expression" dxfId="1262" priority="9487" stopIfTrue="1">
      <formula>OR($O$2412="F/S",$O$2412="")</formula>
    </cfRule>
    <cfRule type="cellIs" dxfId="1261" priority="9488" stopIfTrue="1" operator="notEqual">
      <formula>0</formula>
    </cfRule>
  </conditionalFormatting>
  <conditionalFormatting sqref="I2412">
    <cfRule type="expression" dxfId="1260" priority="294" stopIfTrue="1">
      <formula>$I2412="适用"</formula>
    </cfRule>
    <cfRule type="expression" dxfId="1259" priority="295" stopIfTrue="1">
      <formula>$I2412="不适用"</formula>
    </cfRule>
  </conditionalFormatting>
  <conditionalFormatting sqref="G2417:G2422">
    <cfRule type="expression" dxfId="1258" priority="9489">
      <formula>$D2417&gt;1</formula>
    </cfRule>
    <cfRule type="expression" dxfId="1257" priority="9490">
      <formula>$C2417="%IN"</formula>
    </cfRule>
    <cfRule type="expression" dxfId="1256" priority="9491" stopIfTrue="1">
      <formula>$E2417=0</formula>
    </cfRule>
  </conditionalFormatting>
  <conditionalFormatting sqref="L2431">
    <cfRule type="expression" dxfId="1255" priority="9492" stopIfTrue="1">
      <formula>OR($L$2431="F/S",$L$2431="")</formula>
    </cfRule>
    <cfRule type="cellIs" dxfId="1254" priority="9493" stopIfTrue="1" operator="notEqual">
      <formula>0</formula>
    </cfRule>
  </conditionalFormatting>
  <conditionalFormatting sqref="O2431:O2462">
    <cfRule type="expression" dxfId="1253" priority="9494" stopIfTrue="1">
      <formula>OR($O$2431="F/S",$O$2431="")</formula>
    </cfRule>
    <cfRule type="cellIs" dxfId="1252" priority="9495" stopIfTrue="1" operator="notEqual">
      <formula>0</formula>
    </cfRule>
  </conditionalFormatting>
  <conditionalFormatting sqref="I2431">
    <cfRule type="expression" dxfId="1251" priority="287" stopIfTrue="1">
      <formula>$I2431="适用"</formula>
    </cfRule>
    <cfRule type="expression" dxfId="1250" priority="288" stopIfTrue="1">
      <formula>$I2431="不适用"</formula>
    </cfRule>
  </conditionalFormatting>
  <conditionalFormatting sqref="G2434:G2454">
    <cfRule type="expression" dxfId="1249" priority="9496">
      <formula>$D2434&gt;1</formula>
    </cfRule>
    <cfRule type="expression" dxfId="1248" priority="9497">
      <formula>$C2434="%IN"</formula>
    </cfRule>
    <cfRule type="expression" dxfId="1247" priority="9498" stopIfTrue="1">
      <formula>$E2434=0</formula>
    </cfRule>
  </conditionalFormatting>
  <conditionalFormatting sqref="L1027:L1028 L1036:L1042">
    <cfRule type="expression" dxfId="1246" priority="9502" stopIfTrue="1">
      <formula>OR($L$1027="F/S",$L$1027="")</formula>
    </cfRule>
    <cfRule type="cellIs" dxfId="1245" priority="9503" stopIfTrue="1" operator="notEqual">
      <formula>0</formula>
    </cfRule>
  </conditionalFormatting>
  <conditionalFormatting sqref="O1027:O1042">
    <cfRule type="expression" dxfId="1244" priority="9504" stopIfTrue="1">
      <formula>OR($O$1027="F/S",$O$1027="")</formula>
    </cfRule>
    <cfRule type="cellIs" dxfId="1243" priority="9505" stopIfTrue="1" operator="notEqual">
      <formula>0</formula>
    </cfRule>
  </conditionalFormatting>
  <conditionalFormatting sqref="I1027">
    <cfRule type="expression" dxfId="1242" priority="280" stopIfTrue="1">
      <formula>$I1027="适用"</formula>
    </cfRule>
    <cfRule type="expression" dxfId="1241" priority="281" stopIfTrue="1">
      <formula>$I1027="不适用"</formula>
    </cfRule>
  </conditionalFormatting>
  <conditionalFormatting sqref="I1131">
    <cfRule type="expression" dxfId="1240" priority="273" stopIfTrue="1">
      <formula>$I1131="适用"</formula>
    </cfRule>
    <cfRule type="expression" dxfId="1239" priority="274" stopIfTrue="1">
      <formula>$I1131="不适用"</formula>
    </cfRule>
  </conditionalFormatting>
  <conditionalFormatting sqref="Q1131:Q1218">
    <cfRule type="expression" dxfId="1238" priority="272" stopIfTrue="1">
      <formula>$Q1131="请输入"</formula>
    </cfRule>
  </conditionalFormatting>
  <conditionalFormatting sqref="L1145:L1147 L1149:L1166 L1237 L1234:L1235">
    <cfRule type="expression" dxfId="1237" priority="9518" stopIfTrue="1">
      <formula>OR($L$1145="F/S",$L$1145="")</formula>
    </cfRule>
    <cfRule type="cellIs" dxfId="1236" priority="9519" stopIfTrue="1" operator="notEqual">
      <formula>0</formula>
    </cfRule>
  </conditionalFormatting>
  <conditionalFormatting sqref="O1145:O1166">
    <cfRule type="expression" dxfId="1235" priority="9520" stopIfTrue="1">
      <formula>OR($O$1145="F/S",$O$1145="")</formula>
    </cfRule>
    <cfRule type="cellIs" dxfId="1234" priority="9521" stopIfTrue="1" operator="notEqual">
      <formula>0</formula>
    </cfRule>
  </conditionalFormatting>
  <conditionalFormatting sqref="I1145">
    <cfRule type="expression" dxfId="1233" priority="263" stopIfTrue="1">
      <formula>$I1145="适用"</formula>
    </cfRule>
    <cfRule type="expression" dxfId="1232" priority="264" stopIfTrue="1">
      <formula>$I1145="不适用"</formula>
    </cfRule>
  </conditionalFormatting>
  <conditionalFormatting sqref="Q1145:Q1218">
    <cfRule type="expression" dxfId="1231" priority="262" stopIfTrue="1">
      <formula>$Q1145="请输入"</formula>
    </cfRule>
  </conditionalFormatting>
  <conditionalFormatting sqref="L1167:L1188">
    <cfRule type="expression" dxfId="1230" priority="9525" stopIfTrue="1">
      <formula>OR($L$1167="F/S",$L$1167="")</formula>
    </cfRule>
    <cfRule type="cellIs" dxfId="1229" priority="9526" stopIfTrue="1" operator="notEqual">
      <formula>0</formula>
    </cfRule>
  </conditionalFormatting>
  <conditionalFormatting sqref="O1167:O1188">
    <cfRule type="expression" dxfId="1228" priority="9527" stopIfTrue="1">
      <formula>OR($O$1167="F/S",$O$1167="")</formula>
    </cfRule>
    <cfRule type="cellIs" dxfId="1227" priority="9528" stopIfTrue="1" operator="notEqual">
      <formula>0</formula>
    </cfRule>
  </conditionalFormatting>
  <conditionalFormatting sqref="I1167">
    <cfRule type="expression" dxfId="1226" priority="256" stopIfTrue="1">
      <formula>$I1167="适用"</formula>
    </cfRule>
    <cfRule type="expression" dxfId="1225" priority="257" stopIfTrue="1">
      <formula>$I1167="不适用"</formula>
    </cfRule>
  </conditionalFormatting>
  <conditionalFormatting sqref="Q1167:Q1218">
    <cfRule type="expression" dxfId="1224" priority="255" stopIfTrue="1">
      <formula>$Q1167="请输入"</formula>
    </cfRule>
  </conditionalFormatting>
  <conditionalFormatting sqref="L1189:L1203">
    <cfRule type="expression" dxfId="1223" priority="9532" stopIfTrue="1">
      <formula>OR($L$1189="F/S",$L$1189="")</formula>
    </cfRule>
    <cfRule type="cellIs" dxfId="1222" priority="9533" stopIfTrue="1" operator="notEqual">
      <formula>0</formula>
    </cfRule>
  </conditionalFormatting>
  <conditionalFormatting sqref="O1189:O1203">
    <cfRule type="expression" dxfId="1221" priority="9534" stopIfTrue="1">
      <formula>OR($O$1189="F/S",$O$1189="")</formula>
    </cfRule>
    <cfRule type="cellIs" dxfId="1220" priority="9535" stopIfTrue="1" operator="notEqual">
      <formula>0</formula>
    </cfRule>
  </conditionalFormatting>
  <conditionalFormatting sqref="I1189">
    <cfRule type="expression" dxfId="1219" priority="249" stopIfTrue="1">
      <formula>$I1189="适用"</formula>
    </cfRule>
    <cfRule type="expression" dxfId="1218" priority="250" stopIfTrue="1">
      <formula>$I1189="不适用"</formula>
    </cfRule>
  </conditionalFormatting>
  <conditionalFormatting sqref="Q1189:Q1218">
    <cfRule type="expression" dxfId="1217" priority="248" stopIfTrue="1">
      <formula>$Q1189="请输入"</formula>
    </cfRule>
  </conditionalFormatting>
  <conditionalFormatting sqref="L1204:L1218">
    <cfRule type="expression" dxfId="1216" priority="9539" stopIfTrue="1">
      <formula>OR($L$1204="F/S",$L$1204="")</formula>
    </cfRule>
    <cfRule type="cellIs" dxfId="1215" priority="9540" stopIfTrue="1" operator="notEqual">
      <formula>0</formula>
    </cfRule>
  </conditionalFormatting>
  <conditionalFormatting sqref="O1204:O1218">
    <cfRule type="expression" dxfId="1214" priority="9541" stopIfTrue="1">
      <formula>OR($O$1204="F/S",$O$1204="")</formula>
    </cfRule>
    <cfRule type="cellIs" dxfId="1213" priority="9542" stopIfTrue="1" operator="notEqual">
      <formula>0</formula>
    </cfRule>
  </conditionalFormatting>
  <conditionalFormatting sqref="I1204">
    <cfRule type="expression" dxfId="1212" priority="242" stopIfTrue="1">
      <formula>$I1204="适用"</formula>
    </cfRule>
    <cfRule type="expression" dxfId="1211" priority="243" stopIfTrue="1">
      <formula>$I1204="不适用"</formula>
    </cfRule>
  </conditionalFormatting>
  <conditionalFormatting sqref="Q1204:Q1218">
    <cfRule type="expression" dxfId="1210" priority="241" stopIfTrue="1">
      <formula>$Q1204="请输入"</formula>
    </cfRule>
  </conditionalFormatting>
  <conditionalFormatting sqref="L1233:L1247 L1252:L1254">
    <cfRule type="expression" dxfId="1209" priority="9546" stopIfTrue="1">
      <formula>OR($L$1233="F/S",$L$1233="")</formula>
    </cfRule>
    <cfRule type="cellIs" dxfId="1208" priority="9547" stopIfTrue="1" operator="notEqual">
      <formula>0</formula>
    </cfRule>
  </conditionalFormatting>
  <conditionalFormatting sqref="O1233:O1254">
    <cfRule type="expression" dxfId="1207" priority="9548" stopIfTrue="1">
      <formula>OR($O$1233="F/S",$O$1233="")</formula>
    </cfRule>
    <cfRule type="cellIs" dxfId="1206" priority="9549" stopIfTrue="1" operator="notEqual">
      <formula>0</formula>
    </cfRule>
  </conditionalFormatting>
  <conditionalFormatting sqref="I1233">
    <cfRule type="expression" dxfId="1205" priority="235" stopIfTrue="1">
      <formula>$I1233="适用"</formula>
    </cfRule>
    <cfRule type="expression" dxfId="1204" priority="236" stopIfTrue="1">
      <formula>$I1233="不适用"</formula>
    </cfRule>
  </conditionalFormatting>
  <conditionalFormatting sqref="Q1233:Q1306">
    <cfRule type="expression" dxfId="1203" priority="234" stopIfTrue="1">
      <formula>$Q1233="请输入"</formula>
    </cfRule>
  </conditionalFormatting>
  <conditionalFormatting sqref="L1255:L1276">
    <cfRule type="expression" dxfId="1202" priority="9553" stopIfTrue="1">
      <formula>OR($L$1255="F/S",$L$1255="")</formula>
    </cfRule>
    <cfRule type="cellIs" dxfId="1201" priority="9554" stopIfTrue="1" operator="notEqual">
      <formula>0</formula>
    </cfRule>
  </conditionalFormatting>
  <conditionalFormatting sqref="O1255:O1276">
    <cfRule type="expression" dxfId="1200" priority="9555" stopIfTrue="1">
      <formula>OR($O$1255="F/S",$O$1255="")</formula>
    </cfRule>
    <cfRule type="cellIs" dxfId="1199" priority="9556" stopIfTrue="1" operator="notEqual">
      <formula>0</formula>
    </cfRule>
  </conditionalFormatting>
  <conditionalFormatting sqref="I1255">
    <cfRule type="expression" dxfId="1198" priority="228" stopIfTrue="1">
      <formula>$I1255="适用"</formula>
    </cfRule>
    <cfRule type="expression" dxfId="1197" priority="229" stopIfTrue="1">
      <formula>$I1255="不适用"</formula>
    </cfRule>
  </conditionalFormatting>
  <conditionalFormatting sqref="Q1255:Q1306">
    <cfRule type="expression" dxfId="1196" priority="227" stopIfTrue="1">
      <formula>$Q1255="请输入"</formula>
    </cfRule>
  </conditionalFormatting>
  <conditionalFormatting sqref="L1277:L1291">
    <cfRule type="expression" dxfId="1195" priority="9560" stopIfTrue="1">
      <formula>OR($L$1277="F/S",$L$1277="")</formula>
    </cfRule>
    <cfRule type="cellIs" dxfId="1194" priority="9561" stopIfTrue="1" operator="notEqual">
      <formula>0</formula>
    </cfRule>
  </conditionalFormatting>
  <conditionalFormatting sqref="O1277:O1291">
    <cfRule type="expression" dxfId="1193" priority="9562" stopIfTrue="1">
      <formula>OR($O$1277="F/S",$O$1277="")</formula>
    </cfRule>
    <cfRule type="cellIs" dxfId="1192" priority="9563" stopIfTrue="1" operator="notEqual">
      <formula>0</formula>
    </cfRule>
  </conditionalFormatting>
  <conditionalFormatting sqref="I1277">
    <cfRule type="expression" dxfId="1191" priority="221" stopIfTrue="1">
      <formula>$I1277="适用"</formula>
    </cfRule>
    <cfRule type="expression" dxfId="1190" priority="222" stopIfTrue="1">
      <formula>$I1277="不适用"</formula>
    </cfRule>
  </conditionalFormatting>
  <conditionalFormatting sqref="Q1277:Q1306">
    <cfRule type="expression" dxfId="1189" priority="220" stopIfTrue="1">
      <formula>$Q1277="请输入"</formula>
    </cfRule>
  </conditionalFormatting>
  <conditionalFormatting sqref="L1292:L1306">
    <cfRule type="expression" dxfId="1188" priority="9567" stopIfTrue="1">
      <formula>OR($L$1292="F/S",$L$1292="")</formula>
    </cfRule>
    <cfRule type="cellIs" dxfId="1187" priority="9568" stopIfTrue="1" operator="notEqual">
      <formula>0</formula>
    </cfRule>
  </conditionalFormatting>
  <conditionalFormatting sqref="O1292:O1306">
    <cfRule type="expression" dxfId="1186" priority="9569" stopIfTrue="1">
      <formula>OR($O$1292="F/S",$O$1292="")</formula>
    </cfRule>
    <cfRule type="cellIs" dxfId="1185" priority="9570" stopIfTrue="1" operator="notEqual">
      <formula>0</formula>
    </cfRule>
  </conditionalFormatting>
  <conditionalFormatting sqref="I1292">
    <cfRule type="expression" dxfId="1184" priority="214" stopIfTrue="1">
      <formula>$I1292="适用"</formula>
    </cfRule>
    <cfRule type="expression" dxfId="1183" priority="215" stopIfTrue="1">
      <formula>$I1292="不适用"</formula>
    </cfRule>
  </conditionalFormatting>
  <conditionalFormatting sqref="Q1292:Q1306">
    <cfRule type="expression" dxfId="1182" priority="213" stopIfTrue="1">
      <formula>$Q1292="请输入"</formula>
    </cfRule>
  </conditionalFormatting>
  <conditionalFormatting sqref="G1209:G1217">
    <cfRule type="expression" dxfId="1181" priority="9583">
      <formula>$D1209&gt;1</formula>
    </cfRule>
    <cfRule type="expression" dxfId="1180" priority="9584">
      <formula>$C1209="%IN"</formula>
    </cfRule>
    <cfRule type="expression" dxfId="1179" priority="9585" stopIfTrue="1">
      <formula>$E1209=0</formula>
    </cfRule>
  </conditionalFormatting>
  <conditionalFormatting sqref="G1282:G1290">
    <cfRule type="expression" dxfId="1178" priority="9592">
      <formula>$D1282&gt;1</formula>
    </cfRule>
    <cfRule type="expression" dxfId="1177" priority="9593">
      <formula>$C1282="%IN"</formula>
    </cfRule>
    <cfRule type="expression" dxfId="1176" priority="9594" stopIfTrue="1">
      <formula>$E1282=0</formula>
    </cfRule>
  </conditionalFormatting>
  <conditionalFormatting sqref="G1297:G1305">
    <cfRule type="expression" dxfId="1175" priority="9595">
      <formula>$D1297&gt;1</formula>
    </cfRule>
    <cfRule type="expression" dxfId="1174" priority="9596">
      <formula>$C1297="%IN"</formula>
    </cfRule>
    <cfRule type="expression" dxfId="1173" priority="9597" stopIfTrue="1">
      <formula>$E1297=0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282:G1289">
    <cfRule type="expression" dxfId="1169" priority="178">
      <formula>$D1282&gt;1</formula>
    </cfRule>
    <cfRule type="expression" dxfId="1168" priority="179">
      <formula>$C1282="%IN"</formula>
    </cfRule>
    <cfRule type="expression" dxfId="1167" priority="180" stopIfTrue="1">
      <formula>$E1282=0</formula>
    </cfRule>
  </conditionalFormatting>
  <conditionalFormatting sqref="G1121:G1129">
    <cfRule type="expression" dxfId="1166" priority="9604">
      <formula>$D1121&gt;1</formula>
    </cfRule>
    <cfRule type="expression" dxfId="1165" priority="9605">
      <formula>$C1121="%IN"</formula>
    </cfRule>
    <cfRule type="expression" dxfId="1164" priority="9606" stopIfTrue="1">
      <formula>$E1121=0</formula>
    </cfRule>
  </conditionalFormatting>
  <conditionalFormatting sqref="G1194:G1202">
    <cfRule type="expression" dxfId="1163" priority="9607">
      <formula>$D1194&gt;1</formula>
    </cfRule>
    <cfRule type="expression" dxfId="1162" priority="9608">
      <formula>$C1194="%IN"</formula>
    </cfRule>
    <cfRule type="expression" dxfId="1161" priority="9609" stopIfTrue="1">
      <formula>$E1194=0</formula>
    </cfRule>
  </conditionalFormatting>
  <conditionalFormatting sqref="G1282:G1289">
    <cfRule type="expression" dxfId="1160" priority="175">
      <formula>$D1282&gt;1</formula>
    </cfRule>
    <cfRule type="expression" dxfId="1159" priority="176">
      <formula>$C1282="%IN"</formula>
    </cfRule>
    <cfRule type="expression" dxfId="1158" priority="177" stopIfTrue="1">
      <formula>$E1282=0</formula>
    </cfRule>
  </conditionalFormatting>
  <conditionalFormatting sqref="G1106:G1114">
    <cfRule type="expression" dxfId="1157" priority="9610">
      <formula>$D1106&gt;1</formula>
    </cfRule>
    <cfRule type="expression" dxfId="1156" priority="9611">
      <formula>$C1106="%IN"</formula>
    </cfRule>
    <cfRule type="expression" dxfId="1155" priority="9612" stopIfTrue="1">
      <formula>$E1106=0</formula>
    </cfRule>
  </conditionalFormatting>
  <conditionalFormatting sqref="L2218:L2219 L2227:L2233">
    <cfRule type="expression" dxfId="1154" priority="9625" stopIfTrue="1">
      <formula>OR($L$2218="F/S",$L$2218="")</formula>
    </cfRule>
    <cfRule type="cellIs" dxfId="1153" priority="9626" stopIfTrue="1" operator="notEqual">
      <formula>0</formula>
    </cfRule>
  </conditionalFormatting>
  <conditionalFormatting sqref="O2218:O2219 O2227:O2233">
    <cfRule type="expression" dxfId="1152" priority="9627" stopIfTrue="1">
      <formula>OR($O$2218="F/S",$O$2218="")</formula>
    </cfRule>
    <cfRule type="cellIs" dxfId="1151" priority="9628" stopIfTrue="1" operator="notEqual">
      <formula>0</formula>
    </cfRule>
  </conditionalFormatting>
  <conditionalFormatting sqref="I2218">
    <cfRule type="expression" dxfId="1150" priority="167" stopIfTrue="1">
      <formula>$I2218="适用"</formula>
    </cfRule>
    <cfRule type="expression" dxfId="1149" priority="168" stopIfTrue="1">
      <formula>$I2218="不适用"</formula>
    </cfRule>
  </conditionalFormatting>
  <conditionalFormatting sqref="G2320:G2328">
    <cfRule type="expression" dxfId="1148" priority="9632">
      <formula>$D2320&gt;1</formula>
    </cfRule>
    <cfRule type="expression" dxfId="1147" priority="9633">
      <formula>$C2320="%IN"</formula>
    </cfRule>
    <cfRule type="expression" dxfId="1146" priority="9634" stopIfTrue="1">
      <formula>$E2320=0</formula>
    </cfRule>
  </conditionalFormatting>
  <conditionalFormatting sqref="G420:G428">
    <cfRule type="expression" dxfId="1145" priority="9638">
      <formula>$D420&gt;1</formula>
    </cfRule>
    <cfRule type="expression" dxfId="1144" priority="9639">
      <formula>$C420="%IN"</formula>
    </cfRule>
    <cfRule type="expression" dxfId="1143" priority="9640" stopIfTrue="1">
      <formula>$E420=0</formula>
    </cfRule>
  </conditionalFormatting>
  <conditionalFormatting sqref="G405:G413">
    <cfRule type="expression" dxfId="1142" priority="9641">
      <formula>$D405&gt;1</formula>
    </cfRule>
    <cfRule type="expression" dxfId="1141" priority="9642">
      <formula>$C405="%IN"</formula>
    </cfRule>
    <cfRule type="expression" dxfId="1140" priority="9643" stopIfTrue="1">
      <formula>$E405=0</formula>
    </cfRule>
  </conditionalFormatting>
  <conditionalFormatting sqref="G112:G117 G693:G695 G435:G439">
    <cfRule type="expression" dxfId="1139" priority="9647">
      <formula>$D112&gt;1</formula>
    </cfRule>
    <cfRule type="expression" dxfId="1138" priority="9648">
      <formula>$C112="%IN"</formula>
    </cfRule>
    <cfRule type="expression" dxfId="1137" priority="9649" stopIfTrue="1">
      <formula>$E112=0</formula>
    </cfRule>
  </conditionalFormatting>
  <conditionalFormatting sqref="G133:G136">
    <cfRule type="expression" dxfId="1136" priority="9650">
      <formula>$D133&gt;1</formula>
    </cfRule>
    <cfRule type="expression" dxfId="1135" priority="9651">
      <formula>$C133="%IN"</formula>
    </cfRule>
    <cfRule type="expression" dxfId="1134" priority="9652" stopIfTrue="1">
      <formula>$E133=0</formula>
    </cfRule>
  </conditionalFormatting>
  <conditionalFormatting sqref="G74:G87">
    <cfRule type="expression" dxfId="1133" priority="9656">
      <formula>$D74&gt;1</formula>
    </cfRule>
    <cfRule type="expression" dxfId="1132" priority="9657">
      <formula>$C74="%IN"</formula>
    </cfRule>
    <cfRule type="expression" dxfId="1131" priority="9658" stopIfTrue="1">
      <formula>$E74=0</formula>
    </cfRule>
  </conditionalFormatting>
  <conditionalFormatting sqref="G163:G168">
    <cfRule type="expression" dxfId="1130" priority="9662">
      <formula>$D163&gt;1</formula>
    </cfRule>
    <cfRule type="expression" dxfId="1129" priority="9663">
      <formula>$C163="%IN"</formula>
    </cfRule>
    <cfRule type="expression" dxfId="1128" priority="9664" stopIfTrue="1">
      <formula>$E163=0</formula>
    </cfRule>
  </conditionalFormatting>
  <conditionalFormatting sqref="G175:G183">
    <cfRule type="expression" dxfId="1127" priority="9665">
      <formula>$D175&gt;1</formula>
    </cfRule>
    <cfRule type="expression" dxfId="1126" priority="9666">
      <formula>$C175="%IN"</formula>
    </cfRule>
    <cfRule type="expression" dxfId="1125" priority="9667" stopIfTrue="1">
      <formula>$E175=0</formula>
    </cfRule>
  </conditionalFormatting>
  <conditionalFormatting sqref="G197:G205">
    <cfRule type="expression" dxfId="1124" priority="9668">
      <formula>$D197&gt;1</formula>
    </cfRule>
    <cfRule type="expression" dxfId="1123" priority="9669">
      <formula>$C197="%IN"</formula>
    </cfRule>
    <cfRule type="expression" dxfId="1122" priority="9670" stopIfTrue="1">
      <formula>$E197=0</formula>
    </cfRule>
  </conditionalFormatting>
  <conditionalFormatting sqref="G256:G264">
    <cfRule type="expression" dxfId="1121" priority="9674">
      <formula>$D256&gt;1</formula>
    </cfRule>
    <cfRule type="expression" dxfId="1120" priority="9675">
      <formula>$C256="%IN"</formula>
    </cfRule>
    <cfRule type="expression" dxfId="1119" priority="9676" stopIfTrue="1">
      <formula>$E256=0</formula>
    </cfRule>
  </conditionalFormatting>
  <conditionalFormatting sqref="G276:G284">
    <cfRule type="expression" dxfId="1118" priority="9677">
      <formula>$D276&gt;1</formula>
    </cfRule>
    <cfRule type="expression" dxfId="1117" priority="9678">
      <formula>$C276="%IN"</formula>
    </cfRule>
    <cfRule type="expression" dxfId="1116" priority="9679" stopIfTrue="1">
      <formula>$E276=0</formula>
    </cfRule>
  </conditionalFormatting>
  <conditionalFormatting sqref="G289:G291">
    <cfRule type="expression" dxfId="1115" priority="9680">
      <formula>$D289&gt;1</formula>
    </cfRule>
    <cfRule type="expression" dxfId="1114" priority="9681">
      <formula>$C289="%IN"</formula>
    </cfRule>
    <cfRule type="expression" dxfId="1113" priority="9682" stopIfTrue="1">
      <formula>$E289=0</formula>
    </cfRule>
  </conditionalFormatting>
  <conditionalFormatting sqref="G296:G304">
    <cfRule type="expression" dxfId="1112" priority="9683">
      <formula>$D296&gt;1</formula>
    </cfRule>
    <cfRule type="expression" dxfId="1111" priority="9684">
      <formula>$C296="%IN"</formula>
    </cfRule>
    <cfRule type="expression" dxfId="1110" priority="9685" stopIfTrue="1">
      <formula>$E296=0</formula>
    </cfRule>
  </conditionalFormatting>
  <conditionalFormatting sqref="H188">
    <cfRule type="expression" dxfId="1109" priority="9686">
      <formula>AND(H$188&lt;&gt;0,H$188&lt;&gt;"")</formula>
    </cfRule>
    <cfRule type="expression" dxfId="1108" priority="9687" stopIfTrue="1">
      <formula>H$189&lt;&gt;"√"</formula>
    </cfRule>
  </conditionalFormatting>
  <conditionalFormatting sqref="J188">
    <cfRule type="expression" dxfId="1107" priority="9688">
      <formula>AND(J$188&lt;&gt;0,J$188&lt;&gt;"")</formula>
    </cfRule>
    <cfRule type="expression" dxfId="1106" priority="9689" stopIfTrue="1">
      <formula>J$189&lt;&gt;"√"</formula>
    </cfRule>
  </conditionalFormatting>
  <conditionalFormatting sqref="L188">
    <cfRule type="expression" dxfId="1105" priority="9690">
      <formula>AND(L$188&lt;&gt;0,L$188&lt;&gt;"")</formula>
    </cfRule>
    <cfRule type="expression" dxfId="1104" priority="9691" stopIfTrue="1">
      <formula>L$189&lt;&gt;"√"</formula>
    </cfRule>
  </conditionalFormatting>
  <conditionalFormatting sqref="K190">
    <cfRule type="expression" dxfId="1103" priority="9692">
      <formula>AND($K$190&lt;&gt;0,$K$190&lt;&gt;"")</formula>
    </cfRule>
    <cfRule type="expression" dxfId="1102" priority="9693" stopIfTrue="1">
      <formula>$L$190&lt;&gt;"√"</formula>
    </cfRule>
  </conditionalFormatting>
  <conditionalFormatting sqref="H210">
    <cfRule type="expression" dxfId="1101" priority="9694">
      <formula>AND(H$210&lt;&gt;0,H$210&lt;&gt;"")</formula>
    </cfRule>
    <cfRule type="expression" dxfId="1100" priority="9695" stopIfTrue="1">
      <formula>H$211&lt;&gt;"√"</formula>
    </cfRule>
  </conditionalFormatting>
  <conditionalFormatting sqref="I210">
    <cfRule type="expression" dxfId="1099" priority="9696">
      <formula>AND(I$210&lt;&gt;0,I$210&lt;&gt;"")</formula>
    </cfRule>
    <cfRule type="expression" dxfId="1098" priority="9697" stopIfTrue="1">
      <formula>I$211&lt;&gt;"√"</formula>
    </cfRule>
  </conditionalFormatting>
  <conditionalFormatting sqref="K212">
    <cfRule type="expression" dxfId="1097" priority="9698">
      <formula>AND($K$212&lt;&gt;0,$K$212&lt;&gt;"")</formula>
    </cfRule>
    <cfRule type="expression" dxfId="1096" priority="9699" stopIfTrue="1">
      <formula>$L$212&lt;&gt;"√"</formula>
    </cfRule>
  </conditionalFormatting>
  <conditionalFormatting sqref="H232">
    <cfRule type="expression" dxfId="1095" priority="9700">
      <formula>AND(H$232&lt;&gt;0,H$232&lt;&gt;"")</formula>
    </cfRule>
    <cfRule type="expression" dxfId="1094" priority="9701" stopIfTrue="1">
      <formula>H$233&lt;&gt;"√"</formula>
    </cfRule>
  </conditionalFormatting>
  <conditionalFormatting sqref="I232">
    <cfRule type="expression" dxfId="1093" priority="9702">
      <formula>AND(I$232&lt;&gt;0,I$232&lt;&gt;"")</formula>
    </cfRule>
    <cfRule type="expression" dxfId="1092" priority="9703" stopIfTrue="1">
      <formula>I$233&lt;&gt;"√"</formula>
    </cfRule>
  </conditionalFormatting>
  <conditionalFormatting sqref="K234">
    <cfRule type="expression" dxfId="1091" priority="9704">
      <formula>AND($K$234&lt;&gt;0,$K$234&lt;&gt;"")</formula>
    </cfRule>
    <cfRule type="expression" dxfId="1090" priority="9705" stopIfTrue="1">
      <formula>$L$234&lt;&gt;"√"</formula>
    </cfRule>
  </conditionalFormatting>
  <conditionalFormatting sqref="H269">
    <cfRule type="expression" dxfId="1089" priority="9706">
      <formula>AND(H$269&lt;&gt;0,H$269&lt;&gt;"")</formula>
    </cfRule>
    <cfRule type="expression" dxfId="1088" priority="9707" stopIfTrue="1">
      <formula>H$270&lt;&gt;"√"</formula>
    </cfRule>
  </conditionalFormatting>
  <conditionalFormatting sqref="N269">
    <cfRule type="expression" dxfId="1087" priority="9708">
      <formula>AND(N$269&lt;&gt;0,N$269&lt;&gt;"")</formula>
    </cfRule>
    <cfRule type="expression" dxfId="1086" priority="9709" stopIfTrue="1">
      <formula>N$270&lt;&gt;"√"</formula>
    </cfRule>
  </conditionalFormatting>
  <conditionalFormatting sqref="K271">
    <cfRule type="expression" dxfId="1085" priority="9710">
      <formula>AND($K$271&lt;&gt;0,$K$271&lt;&gt;"")</formula>
    </cfRule>
    <cfRule type="expression" dxfId="1084" priority="9711" stopIfTrue="1">
      <formula>$L$271&lt;&gt;"√"</formula>
    </cfRule>
  </conditionalFormatting>
  <conditionalFormatting sqref="G320:G332">
    <cfRule type="expression" dxfId="1083" priority="9712">
      <formula>$D320&gt;1</formula>
    </cfRule>
    <cfRule type="expression" dxfId="1082" priority="9713">
      <formula>$C320="%IN"</formula>
    </cfRule>
    <cfRule type="expression" dxfId="1081" priority="9714" stopIfTrue="1">
      <formula>$E320=0</formula>
    </cfRule>
  </conditionalFormatting>
  <conditionalFormatting sqref="G339:G347">
    <cfRule type="expression" dxfId="1080" priority="9715">
      <formula>$D339&gt;1</formula>
    </cfRule>
    <cfRule type="expression" dxfId="1079" priority="9716">
      <formula>$C339="%IN"</formula>
    </cfRule>
    <cfRule type="expression" dxfId="1078" priority="9717" stopIfTrue="1">
      <formula>$E339=0</formula>
    </cfRule>
  </conditionalFormatting>
  <conditionalFormatting sqref="G361:G369">
    <cfRule type="expression" dxfId="1077" priority="9721">
      <formula>$D361&gt;1</formula>
    </cfRule>
    <cfRule type="expression" dxfId="1076" priority="9722">
      <formula>$C361="%IN"</formula>
    </cfRule>
    <cfRule type="expression" dxfId="1075" priority="9723" stopIfTrue="1">
      <formula>$E361=0</formula>
    </cfRule>
  </conditionalFormatting>
  <conditionalFormatting sqref="G383:G391">
    <cfRule type="expression" dxfId="1074" priority="9724">
      <formula>$D383&gt;1</formula>
    </cfRule>
    <cfRule type="expression" dxfId="1073" priority="9725">
      <formula>$C383="%IN"</formula>
    </cfRule>
    <cfRule type="expression" dxfId="1072" priority="9726" stopIfTrue="1">
      <formula>$E383=0</formula>
    </cfRule>
  </conditionalFormatting>
  <conditionalFormatting sqref="G453:G459">
    <cfRule type="expression" dxfId="1071" priority="9727">
      <formula>$D453&gt;1</formula>
    </cfRule>
    <cfRule type="expression" dxfId="1070" priority="9728">
      <formula>$C453="%IN"</formula>
    </cfRule>
    <cfRule type="expression" dxfId="1069" priority="9729" stopIfTrue="1">
      <formula>$E453=0</formula>
    </cfRule>
  </conditionalFormatting>
  <conditionalFormatting sqref="G473:G483">
    <cfRule type="expression" dxfId="1068" priority="9730">
      <formula>$D473&gt;1</formula>
    </cfRule>
    <cfRule type="expression" dxfId="1067" priority="9731">
      <formula>$C473="%IN"</formula>
    </cfRule>
    <cfRule type="expression" dxfId="1066" priority="9732" stopIfTrue="1">
      <formula>$E473=0</formula>
    </cfRule>
  </conditionalFormatting>
  <conditionalFormatting sqref="G584:G592">
    <cfRule type="expression" dxfId="1065" priority="9733">
      <formula>$D584&gt;1</formula>
    </cfRule>
    <cfRule type="expression" dxfId="1064" priority="9734">
      <formula>$C584="%IN"</formula>
    </cfRule>
    <cfRule type="expression" dxfId="1063" priority="9735" stopIfTrue="1">
      <formula>$E584=0</formula>
    </cfRule>
  </conditionalFormatting>
  <conditionalFormatting sqref="G632:G646">
    <cfRule type="expression" dxfId="1062" priority="9745">
      <formula>$D632&gt;1</formula>
    </cfRule>
    <cfRule type="expression" dxfId="1061" priority="9746">
      <formula>$C632="%IN"</formula>
    </cfRule>
    <cfRule type="expression" dxfId="1060" priority="9747" stopIfTrue="1">
      <formula>$E632=0</formula>
    </cfRule>
  </conditionalFormatting>
  <conditionalFormatting sqref="G562:G567">
    <cfRule type="expression" dxfId="1059" priority="9754">
      <formula>$D562&gt;1</formula>
    </cfRule>
    <cfRule type="expression" dxfId="1058" priority="9755">
      <formula>$C562="%IN"</formula>
    </cfRule>
    <cfRule type="expression" dxfId="1057" priority="9756" stopIfTrue="1">
      <formula>$E562=0</formula>
    </cfRule>
  </conditionalFormatting>
  <conditionalFormatting sqref="G572:G577">
    <cfRule type="expression" dxfId="1056" priority="9757">
      <formula>$D572&gt;1</formula>
    </cfRule>
    <cfRule type="expression" dxfId="1055" priority="9758">
      <formula>$C572="%IN"</formula>
    </cfRule>
    <cfRule type="expression" dxfId="1054" priority="9759" stopIfTrue="1">
      <formula>$E572=0</formula>
    </cfRule>
  </conditionalFormatting>
  <conditionalFormatting sqref="G219:G227">
    <cfRule type="expression" dxfId="1053" priority="9760">
      <formula>$D219&gt;1</formula>
    </cfRule>
    <cfRule type="expression" dxfId="1052" priority="9761">
      <formula>$C219="%IN"</formula>
    </cfRule>
    <cfRule type="expression" dxfId="1051" priority="9762" stopIfTrue="1">
      <formula>$E219=0</formula>
    </cfRule>
  </conditionalFormatting>
  <conditionalFormatting sqref="G125:G128">
    <cfRule type="expression" dxfId="1050" priority="9763">
      <formula>$D125&gt;1</formula>
    </cfRule>
    <cfRule type="expression" dxfId="1049" priority="9764">
      <formula>$C125="%IN"</formula>
    </cfRule>
    <cfRule type="expression" dxfId="1048" priority="9765" stopIfTrue="1">
      <formula>$E125=0</formula>
    </cfRule>
  </conditionalFormatting>
  <conditionalFormatting sqref="G701:G704">
    <cfRule type="expression" dxfId="1047" priority="9766">
      <formula>$D701&gt;1</formula>
    </cfRule>
    <cfRule type="expression" dxfId="1046" priority="9767">
      <formula>$C701="%IN"</formula>
    </cfRule>
    <cfRule type="expression" dxfId="1045" priority="9768" stopIfTrue="1">
      <formula>$E701=0</formula>
    </cfRule>
  </conditionalFormatting>
  <conditionalFormatting sqref="G853:G856">
    <cfRule type="expression" dxfId="1044" priority="9781">
      <formula>$D853&gt;1</formula>
    </cfRule>
    <cfRule type="expression" dxfId="1043" priority="9782">
      <formula>$C853="%IN"</formula>
    </cfRule>
    <cfRule type="expression" dxfId="1042" priority="9783" stopIfTrue="1">
      <formula>$E853=0</formula>
    </cfRule>
  </conditionalFormatting>
  <conditionalFormatting sqref="G903:G908">
    <cfRule type="expression" dxfId="1041" priority="9784">
      <formula>$D903&gt;1</formula>
    </cfRule>
    <cfRule type="expression" dxfId="1040" priority="9785">
      <formula>$C903="%IN"</formula>
    </cfRule>
    <cfRule type="expression" dxfId="1039" priority="9786" stopIfTrue="1">
      <formula>$E903=0</formula>
    </cfRule>
  </conditionalFormatting>
  <conditionalFormatting sqref="G913:G918">
    <cfRule type="expression" dxfId="1038" priority="9787">
      <formula>$D913&gt;1</formula>
    </cfRule>
    <cfRule type="expression" dxfId="1037" priority="9788">
      <formula>$C913="%IN"</formula>
    </cfRule>
    <cfRule type="expression" dxfId="1036" priority="9789" stopIfTrue="1">
      <formula>$E913=0</formula>
    </cfRule>
  </conditionalFormatting>
  <conditionalFormatting sqref="G959:G964">
    <cfRule type="expression" dxfId="1035" priority="9793">
      <formula>$D959&gt;1</formula>
    </cfRule>
    <cfRule type="expression" dxfId="1034" priority="9794">
      <formula>$C959="%IN"</formula>
    </cfRule>
    <cfRule type="expression" dxfId="1033" priority="9795" stopIfTrue="1">
      <formula>$E959=0</formula>
    </cfRule>
  </conditionalFormatting>
  <conditionalFormatting sqref="G947:G954">
    <cfRule type="expression" dxfId="1032" priority="9796">
      <formula>$D947&gt;1</formula>
    </cfRule>
    <cfRule type="expression" dxfId="1031" priority="9797">
      <formula>$C947="%IN"</formula>
    </cfRule>
    <cfRule type="expression" dxfId="1030" priority="9798" stopIfTrue="1">
      <formula>$E947=0</formula>
    </cfRule>
  </conditionalFormatting>
  <conditionalFormatting sqref="G970:G975">
    <cfRule type="expression" dxfId="1029" priority="9799">
      <formula>$D970&gt;1</formula>
    </cfRule>
    <cfRule type="expression" dxfId="1028" priority="9800">
      <formula>$C970="%IN"</formula>
    </cfRule>
    <cfRule type="expression" dxfId="1027" priority="9801" stopIfTrue="1">
      <formula>$E970=0</formula>
    </cfRule>
  </conditionalFormatting>
  <conditionalFormatting sqref="G980:G985">
    <cfRule type="expression" dxfId="1026" priority="9802">
      <formula>$D980&gt;1</formula>
    </cfRule>
    <cfRule type="expression" dxfId="1025" priority="9803">
      <formula>$C980="%IN"</formula>
    </cfRule>
    <cfRule type="expression" dxfId="1024" priority="9804" stopIfTrue="1">
      <formula>$E980=0</formula>
    </cfRule>
  </conditionalFormatting>
  <conditionalFormatting sqref="G991:G1004">
    <cfRule type="expression" dxfId="1023" priority="9811">
      <formula>$D991&gt;1</formula>
    </cfRule>
    <cfRule type="expression" dxfId="1022" priority="9812">
      <formula>$C991="%IN"</formula>
    </cfRule>
    <cfRule type="expression" dxfId="1021" priority="9813" stopIfTrue="1">
      <formula>$E991=0</formula>
    </cfRule>
  </conditionalFormatting>
  <conditionalFormatting sqref="G1030:G1034">
    <cfRule type="expression" dxfId="1020" priority="9817">
      <formula>$D1030&gt;1</formula>
    </cfRule>
    <cfRule type="expression" dxfId="1019" priority="9818">
      <formula>$C1030="%IN"</formula>
    </cfRule>
    <cfRule type="expression" dxfId="1018" priority="9819" stopIfTrue="1">
      <formula>$E1030=0</formula>
    </cfRule>
  </conditionalFormatting>
  <conditionalFormatting sqref="G1046:G1055">
    <cfRule type="expression" dxfId="1017" priority="9820">
      <formula>$D1046&gt;1</formula>
    </cfRule>
    <cfRule type="expression" dxfId="1016" priority="9821">
      <formula>$C1046="%IN"</formula>
    </cfRule>
    <cfRule type="expression" dxfId="1015" priority="9822" stopIfTrue="1">
      <formula>$E1046=0</formula>
    </cfRule>
  </conditionalFormatting>
  <conditionalFormatting sqref="G1062:G1070">
    <cfRule type="expression" dxfId="1014" priority="9823">
      <formula>$D1062&gt;1</formula>
    </cfRule>
    <cfRule type="expression" dxfId="1013" priority="9824">
      <formula>$C1062="%IN"</formula>
    </cfRule>
    <cfRule type="expression" dxfId="1012" priority="9825" stopIfTrue="1">
      <formula>$E1062=0</formula>
    </cfRule>
  </conditionalFormatting>
  <conditionalFormatting sqref="G1084:G1092">
    <cfRule type="expression" dxfId="1011" priority="9826">
      <formula>$D1084&gt;1</formula>
    </cfRule>
    <cfRule type="expression" dxfId="1010" priority="9827">
      <formula>$C1084="%IN"</formula>
    </cfRule>
    <cfRule type="expression" dxfId="1009" priority="9828" stopIfTrue="1">
      <formula>$E1084=0</formula>
    </cfRule>
  </conditionalFormatting>
  <conditionalFormatting sqref="G1134:G1143">
    <cfRule type="expression" dxfId="1008" priority="9829">
      <formula>$D1134&gt;1</formula>
    </cfRule>
    <cfRule type="expression" dxfId="1007" priority="9830">
      <formula>$C1134="%IN"</formula>
    </cfRule>
    <cfRule type="expression" dxfId="1006" priority="9831" stopIfTrue="1">
      <formula>$E1134=0</formula>
    </cfRule>
  </conditionalFormatting>
  <conditionalFormatting sqref="G1150:G1158">
    <cfRule type="expression" dxfId="1005" priority="9832">
      <formula>$D1150&gt;1</formula>
    </cfRule>
    <cfRule type="expression" dxfId="1004" priority="9833">
      <formula>$C1150="%IN"</formula>
    </cfRule>
    <cfRule type="expression" dxfId="1003" priority="9834" stopIfTrue="1">
      <formula>$E1150=0</formula>
    </cfRule>
  </conditionalFormatting>
  <conditionalFormatting sqref="G1172:G1180">
    <cfRule type="expression" dxfId="1002" priority="9835">
      <formula>$D1172&gt;1</formula>
    </cfRule>
    <cfRule type="expression" dxfId="1001" priority="9836">
      <formula>$C1172="%IN"</formula>
    </cfRule>
    <cfRule type="expression" dxfId="1000" priority="9837" stopIfTrue="1">
      <formula>$E1172=0</formula>
    </cfRule>
  </conditionalFormatting>
  <conditionalFormatting sqref="G1222:G1231">
    <cfRule type="expression" dxfId="999" priority="9838">
      <formula>$D1222&gt;1</formula>
    </cfRule>
    <cfRule type="expression" dxfId="998" priority="9839">
      <formula>$C1222="%IN"</formula>
    </cfRule>
    <cfRule type="expression" dxfId="997" priority="9840" stopIfTrue="1">
      <formula>$E1222=0</formula>
    </cfRule>
  </conditionalFormatting>
  <conditionalFormatting sqref="G1238:G1246">
    <cfRule type="expression" dxfId="996" priority="9841">
      <formula>$D1238&gt;1</formula>
    </cfRule>
    <cfRule type="expression" dxfId="995" priority="9842">
      <formula>$C1238="%IN"</formula>
    </cfRule>
    <cfRule type="expression" dxfId="994" priority="9843" stopIfTrue="1">
      <formula>$E1238=0</formula>
    </cfRule>
  </conditionalFormatting>
  <conditionalFormatting sqref="G1260:G1268">
    <cfRule type="expression" dxfId="993" priority="9844">
      <formula>$D1260&gt;1</formula>
    </cfRule>
    <cfRule type="expression" dxfId="992" priority="9845">
      <formula>$C1260="%IN"</formula>
    </cfRule>
    <cfRule type="expression" dxfId="991" priority="9846" stopIfTrue="1">
      <formula>$E1260=0</formula>
    </cfRule>
  </conditionalFormatting>
  <conditionalFormatting sqref="G1312:G1317">
    <cfRule type="expression" dxfId="990" priority="9847">
      <formula>$D1312&gt;1</formula>
    </cfRule>
    <cfRule type="expression" dxfId="989" priority="9848">
      <formula>$C1312="%IN"</formula>
    </cfRule>
    <cfRule type="expression" dxfId="988" priority="9849" stopIfTrue="1">
      <formula>$E1312=0</formula>
    </cfRule>
  </conditionalFormatting>
  <conditionalFormatting sqref="G1331:G1339">
    <cfRule type="expression" dxfId="987" priority="9850">
      <formula>$D1331&gt;1</formula>
    </cfRule>
    <cfRule type="expression" dxfId="986" priority="9851">
      <formula>$C1331="%IN"</formula>
    </cfRule>
    <cfRule type="expression" dxfId="985" priority="9852" stopIfTrue="1">
      <formula>$E1331=0</formula>
    </cfRule>
  </conditionalFormatting>
  <conditionalFormatting sqref="G1353:G1363">
    <cfRule type="expression" dxfId="984" priority="9853">
      <formula>$D1353&gt;1</formula>
    </cfRule>
    <cfRule type="expression" dxfId="983" priority="9854">
      <formula>$C1353="%IN"</formula>
    </cfRule>
    <cfRule type="expression" dxfId="982" priority="9855" stopIfTrue="1">
      <formula>$E1353=0</formula>
    </cfRule>
  </conditionalFormatting>
  <conditionalFormatting sqref="G1474:G1482">
    <cfRule type="expression" dxfId="981" priority="9856">
      <formula>$D1474&gt;1</formula>
    </cfRule>
    <cfRule type="expression" dxfId="980" priority="9857">
      <formula>$C1474="%IN"</formula>
    </cfRule>
    <cfRule type="expression" dxfId="979" priority="9858" stopIfTrue="1">
      <formula>$E1474=0</formula>
    </cfRule>
  </conditionalFormatting>
  <conditionalFormatting sqref="G1452:G1457">
    <cfRule type="expression" dxfId="978" priority="9877">
      <formula>$D1452&gt;1</formula>
    </cfRule>
    <cfRule type="expression" dxfId="977" priority="9878">
      <formula>$C1452="%IN"</formula>
    </cfRule>
    <cfRule type="expression" dxfId="976" priority="9879" stopIfTrue="1">
      <formula>$E1452=0</formula>
    </cfRule>
  </conditionalFormatting>
  <conditionalFormatting sqref="G1462:G1467">
    <cfRule type="expression" dxfId="975" priority="9880">
      <formula>$D1462&gt;1</formula>
    </cfRule>
    <cfRule type="expression" dxfId="974" priority="9881">
      <formula>$C1462="%IN"</formula>
    </cfRule>
    <cfRule type="expression" dxfId="973" priority="9882" stopIfTrue="1">
      <formula>$E1462=0</formula>
    </cfRule>
  </conditionalFormatting>
  <conditionalFormatting sqref="G1612:G1614">
    <cfRule type="expression" dxfId="972" priority="9883">
      <formula>$D1612&gt;1</formula>
    </cfRule>
    <cfRule type="expression" dxfId="971" priority="9884">
      <formula>$C1612="%IN"</formula>
    </cfRule>
    <cfRule type="expression" dxfId="970" priority="9885" stopIfTrue="1">
      <formula>$E1612=0</formula>
    </cfRule>
  </conditionalFormatting>
  <conditionalFormatting sqref="G1622:G1634">
    <cfRule type="expression" dxfId="969" priority="9886">
      <formula>$D1622&gt;1</formula>
    </cfRule>
    <cfRule type="expression" dxfId="968" priority="9887">
      <formula>$C1622="%IN"</formula>
    </cfRule>
    <cfRule type="expression" dxfId="967" priority="9888" stopIfTrue="1">
      <formula>$E1622=0</formula>
    </cfRule>
  </conditionalFormatting>
  <conditionalFormatting sqref="G1641:G1653">
    <cfRule type="expression" dxfId="966" priority="9889">
      <formula>$D1641&gt;1</formula>
    </cfRule>
    <cfRule type="expression" dxfId="965" priority="9890">
      <formula>$C1641="%IN"</formula>
    </cfRule>
    <cfRule type="expression" dxfId="964" priority="9891" stopIfTrue="1">
      <formula>$E1641=0</formula>
    </cfRule>
  </conditionalFormatting>
  <conditionalFormatting sqref="G1719:G1724">
    <cfRule type="expression" dxfId="963" priority="9898">
      <formula>$D1719&gt;1</formula>
    </cfRule>
    <cfRule type="expression" dxfId="962" priority="9899">
      <formula>$C1719="%IN"</formula>
    </cfRule>
    <cfRule type="expression" dxfId="961" priority="9900" stopIfTrue="1">
      <formula>$E1719=0</formula>
    </cfRule>
  </conditionalFormatting>
  <conditionalFormatting sqref="G1729:G1734">
    <cfRule type="expression" dxfId="960" priority="9901">
      <formula>$D1729&gt;1</formula>
    </cfRule>
    <cfRule type="expression" dxfId="959" priority="9902">
      <formula>$C1729="%IN"</formula>
    </cfRule>
    <cfRule type="expression" dxfId="958" priority="9903" stopIfTrue="1">
      <formula>$E1729=0</formula>
    </cfRule>
  </conditionalFormatting>
  <conditionalFormatting sqref="G1739:G1751">
    <cfRule type="expression" dxfId="957" priority="9904">
      <formula>$D1739&gt;1</formula>
    </cfRule>
    <cfRule type="expression" dxfId="956" priority="9905">
      <formula>$C1739="%IN"</formula>
    </cfRule>
    <cfRule type="expression" dxfId="955" priority="9906" stopIfTrue="1">
      <formula>$E1739=0</formula>
    </cfRule>
  </conditionalFormatting>
  <conditionalFormatting sqref="G1756:G1761">
    <cfRule type="expression" dxfId="954" priority="9907">
      <formula>$D1756&gt;1</formula>
    </cfRule>
    <cfRule type="expression" dxfId="953" priority="9908">
      <formula>$C1756="%IN"</formula>
    </cfRule>
    <cfRule type="expression" dxfId="952" priority="9909" stopIfTrue="1">
      <formula>$E1756=0</formula>
    </cfRule>
  </conditionalFormatting>
  <conditionalFormatting sqref="G1779:G1787">
    <cfRule type="expression" dxfId="951" priority="9910">
      <formula>$D1779&gt;1</formula>
    </cfRule>
    <cfRule type="expression" dxfId="950" priority="9911">
      <formula>$C1779="%IN"</formula>
    </cfRule>
    <cfRule type="expression" dxfId="949" priority="9912" stopIfTrue="1">
      <formula>$E1779=0</formula>
    </cfRule>
  </conditionalFormatting>
  <conditionalFormatting sqref="G1793:G1797">
    <cfRule type="expression" dxfId="948" priority="9913">
      <formula>$D1793&gt;1</formula>
    </cfRule>
    <cfRule type="expression" dxfId="947" priority="9914">
      <formula>$C1793="%IN"</formula>
    </cfRule>
    <cfRule type="expression" dxfId="946" priority="9915" stopIfTrue="1">
      <formula>$E1793=0</formula>
    </cfRule>
  </conditionalFormatting>
  <conditionalFormatting sqref="G1856:G1860">
    <cfRule type="expression" dxfId="945" priority="9916">
      <formula>$D1856&gt;1</formula>
    </cfRule>
    <cfRule type="expression" dxfId="944" priority="9917">
      <formula>$C1856="%IN"</formula>
    </cfRule>
    <cfRule type="expression" dxfId="943" priority="9918" stopIfTrue="1">
      <formula>$E1856=0</formula>
    </cfRule>
  </conditionalFormatting>
  <conditionalFormatting sqref="G1872:G1880">
    <cfRule type="expression" dxfId="942" priority="9919">
      <formula>$D1872&gt;1</formula>
    </cfRule>
    <cfRule type="expression" dxfId="941" priority="9920">
      <formula>$C1872="%IN"</formula>
    </cfRule>
    <cfRule type="expression" dxfId="940" priority="9921" stopIfTrue="1">
      <formula>$E1872=0</formula>
    </cfRule>
  </conditionalFormatting>
  <conditionalFormatting sqref="G1885:G1893">
    <cfRule type="expression" dxfId="939" priority="9922">
      <formula>$D1885&gt;1</formula>
    </cfRule>
    <cfRule type="expression" dxfId="938" priority="9923">
      <formula>$C1885="%IN"</formula>
    </cfRule>
    <cfRule type="expression" dxfId="937" priority="9924" stopIfTrue="1">
      <formula>$E1885=0</formula>
    </cfRule>
  </conditionalFormatting>
  <conditionalFormatting sqref="G1898:G1906">
    <cfRule type="expression" dxfId="936" priority="9925">
      <formula>$D1898&gt;1</formula>
    </cfRule>
    <cfRule type="expression" dxfId="935" priority="9926">
      <formula>$C1898="%IN"</formula>
    </cfRule>
    <cfRule type="expression" dxfId="934" priority="9927" stopIfTrue="1">
      <formula>$E1898=0</formula>
    </cfRule>
  </conditionalFormatting>
  <conditionalFormatting sqref="G1913:G1918">
    <cfRule type="expression" dxfId="933" priority="9928">
      <formula>$D1913&gt;1</formula>
    </cfRule>
    <cfRule type="expression" dxfId="932" priority="9929">
      <formula>$C1913="%IN"</formula>
    </cfRule>
    <cfRule type="expression" dxfId="931" priority="9930" stopIfTrue="1">
      <formula>$E1913=0</formula>
    </cfRule>
  </conditionalFormatting>
  <conditionalFormatting sqref="G1932:G1944">
    <cfRule type="expression" dxfId="930" priority="9931">
      <formula>$D1932&gt;1</formula>
    </cfRule>
    <cfRule type="expression" dxfId="929" priority="9932">
      <formula>$C1932="%IN"</formula>
    </cfRule>
    <cfRule type="expression" dxfId="928" priority="9933" stopIfTrue="1">
      <formula>$E1932=0</formula>
    </cfRule>
  </conditionalFormatting>
  <conditionalFormatting sqref="G1976:G1984">
    <cfRule type="expression" dxfId="927" priority="9937">
      <formula>$D1976&gt;1</formula>
    </cfRule>
    <cfRule type="expression" dxfId="926" priority="9938">
      <formula>$C1976="%IN"</formula>
    </cfRule>
    <cfRule type="expression" dxfId="925" priority="9939" stopIfTrue="1">
      <formula>$E1976=0</formula>
    </cfRule>
  </conditionalFormatting>
  <conditionalFormatting sqref="G1991:G1999">
    <cfRule type="expression" dxfId="924" priority="9940">
      <formula>$D1991&gt;1</formula>
    </cfRule>
    <cfRule type="expression" dxfId="923" priority="9941">
      <formula>$C1991="%IN"</formula>
    </cfRule>
    <cfRule type="expression" dxfId="922" priority="9942" stopIfTrue="1">
      <formula>$E1991=0</formula>
    </cfRule>
  </conditionalFormatting>
  <conditionalFormatting sqref="G2004:G2011">
    <cfRule type="expression" dxfId="921" priority="9943">
      <formula>$D2004&gt;1</formula>
    </cfRule>
    <cfRule type="expression" dxfId="920" priority="9944">
      <formula>$C2004="%IN"</formula>
    </cfRule>
    <cfRule type="expression" dxfId="919" priority="9945" stopIfTrue="1">
      <formula>$E2004=0</formula>
    </cfRule>
  </conditionalFormatting>
  <conditionalFormatting sqref="G2024:G2029">
    <cfRule type="expression" dxfId="918" priority="9946">
      <formula>$D2024&gt;1</formula>
    </cfRule>
    <cfRule type="expression" dxfId="917" priority="9947">
      <formula>$C2024="%IN"</formula>
    </cfRule>
    <cfRule type="expression" dxfId="916" priority="9948" stopIfTrue="1">
      <formula>$E2024=0</formula>
    </cfRule>
  </conditionalFormatting>
  <conditionalFormatting sqref="G2035:G2046">
    <cfRule type="expression" dxfId="915" priority="9949">
      <formula>$D2035&gt;1</formula>
    </cfRule>
    <cfRule type="expression" dxfId="914" priority="9950">
      <formula>$C2035="%IN"</formula>
    </cfRule>
    <cfRule type="expression" dxfId="913" priority="9951" stopIfTrue="1">
      <formula>$E2035=0</formula>
    </cfRule>
  </conditionalFormatting>
  <conditionalFormatting sqref="G2053:G2061">
    <cfRule type="expression" dxfId="912" priority="9952">
      <formula>$D2053&gt;1</formula>
    </cfRule>
    <cfRule type="expression" dxfId="911" priority="9953">
      <formula>$C2053="%IN"</formula>
    </cfRule>
    <cfRule type="expression" dxfId="910" priority="9954" stopIfTrue="1">
      <formula>$E2053=0</formula>
    </cfRule>
  </conditionalFormatting>
  <conditionalFormatting sqref="G2123:G2128">
    <cfRule type="expression" dxfId="909" priority="9967">
      <formula>$D2123&gt;1</formula>
    </cfRule>
    <cfRule type="expression" dxfId="908" priority="9968">
      <formula>$C2123="%IN"</formula>
    </cfRule>
    <cfRule type="expression" dxfId="907" priority="9969" stopIfTrue="1">
      <formula>$E2123=0</formula>
    </cfRule>
  </conditionalFormatting>
  <conditionalFormatting sqref="G2184:G2189">
    <cfRule type="expression" dxfId="906" priority="9970">
      <formula>$D2184&gt;1</formula>
    </cfRule>
    <cfRule type="expression" dxfId="905" priority="9971">
      <formula>$C2184="%IN"</formula>
    </cfRule>
    <cfRule type="expression" dxfId="904" priority="9972" stopIfTrue="1">
      <formula>$E2184=0</formula>
    </cfRule>
  </conditionalFormatting>
  <conditionalFormatting sqref="G2207:G2216">
    <cfRule type="expression" dxfId="903" priority="9973">
      <formula>$D2207&gt;1</formula>
    </cfRule>
    <cfRule type="expression" dxfId="902" priority="9974">
      <formula>$C2207="%IN"</formula>
    </cfRule>
    <cfRule type="expression" dxfId="901" priority="9975" stopIfTrue="1">
      <formula>$E2207=0</formula>
    </cfRule>
  </conditionalFormatting>
  <conditionalFormatting sqref="G2221:G2225">
    <cfRule type="expression" dxfId="900" priority="9976">
      <formula>$D2221&gt;1</formula>
    </cfRule>
    <cfRule type="expression" dxfId="899" priority="9977">
      <formula>$C2221="%IN"</formula>
    </cfRule>
    <cfRule type="expression" dxfId="898" priority="9978" stopIfTrue="1">
      <formula>$E2221=0</formula>
    </cfRule>
  </conditionalFormatting>
  <conditionalFormatting sqref="G2237:G2245">
    <cfRule type="expression" dxfId="897" priority="9979">
      <formula>$D2237&gt;1</formula>
    </cfRule>
    <cfRule type="expression" dxfId="896" priority="9980">
      <formula>$C2237="%IN"</formula>
    </cfRule>
    <cfRule type="expression" dxfId="895" priority="9981" stopIfTrue="1">
      <formula>$E2237=0</formula>
    </cfRule>
  </conditionalFormatting>
  <conditionalFormatting sqref="G2250:G2258">
    <cfRule type="expression" dxfId="894" priority="9982">
      <formula>$D2250&gt;1</formula>
    </cfRule>
    <cfRule type="expression" dxfId="893" priority="9983">
      <formula>$C2250="%IN"</formula>
    </cfRule>
    <cfRule type="expression" dxfId="892" priority="9984" stopIfTrue="1">
      <formula>$E2250=0</formula>
    </cfRule>
  </conditionalFormatting>
  <conditionalFormatting sqref="G2263:G2271">
    <cfRule type="expression" dxfId="891" priority="9985">
      <formula>$D2263&gt;1</formula>
    </cfRule>
    <cfRule type="expression" dxfId="890" priority="9986">
      <formula>$C2263="%IN"</formula>
    </cfRule>
    <cfRule type="expression" dxfId="889" priority="9987" stopIfTrue="1">
      <formula>$E2263=0</formula>
    </cfRule>
  </conditionalFormatting>
  <conditionalFormatting sqref="G2278:G2284">
    <cfRule type="expression" dxfId="888" priority="9988">
      <formula>$D2278&gt;1</formula>
    </cfRule>
    <cfRule type="expression" dxfId="887" priority="9989">
      <formula>$C2278="%IN"</formula>
    </cfRule>
    <cfRule type="expression" dxfId="886" priority="9990" stopIfTrue="1">
      <formula>$E2278=0</formula>
    </cfRule>
  </conditionalFormatting>
  <conditionalFormatting sqref="G2298:G2306">
    <cfRule type="expression" dxfId="885" priority="9991">
      <formula>$D2298&gt;1</formula>
    </cfRule>
    <cfRule type="expression" dxfId="884" priority="9992">
      <formula>$C2298="%IN"</formula>
    </cfRule>
    <cfRule type="expression" dxfId="883" priority="9993" stopIfTrue="1">
      <formula>$E2298=0</formula>
    </cfRule>
  </conditionalFormatting>
  <conditionalFormatting sqref="G2335:G2340">
    <cfRule type="expression" dxfId="882" priority="9994">
      <formula>$D2335&gt;1</formula>
    </cfRule>
    <cfRule type="expression" dxfId="881" priority="9995">
      <formula>$C2335="%IN"</formula>
    </cfRule>
    <cfRule type="expression" dxfId="880" priority="9996" stopIfTrue="1">
      <formula>$E2335=0</formula>
    </cfRule>
  </conditionalFormatting>
  <conditionalFormatting sqref="G2381:G2389">
    <cfRule type="expression" dxfId="879" priority="10000">
      <formula>$D2381&gt;1</formula>
    </cfRule>
    <cfRule type="expression" dxfId="878" priority="10001">
      <formula>$C2381="%IN"</formula>
    </cfRule>
    <cfRule type="expression" dxfId="877" priority="10002" stopIfTrue="1">
      <formula>$E2381=0</formula>
    </cfRule>
  </conditionalFormatting>
  <conditionalFormatting sqref="G2394:G2399">
    <cfRule type="expression" dxfId="876" priority="10003">
      <formula>$D2394&gt;1</formula>
    </cfRule>
    <cfRule type="expression" dxfId="875" priority="10004">
      <formula>$C2394="%IN"</formula>
    </cfRule>
    <cfRule type="expression" dxfId="874" priority="10005" stopIfTrue="1">
      <formula>$E2394=0</formula>
    </cfRule>
  </conditionalFormatting>
  <conditionalFormatting sqref="G2371:G2376">
    <cfRule type="expression" dxfId="873" priority="10006">
      <formula>$D2371&gt;1</formula>
    </cfRule>
    <cfRule type="expression" dxfId="872" priority="10007">
      <formula>$C2371="%IN"</formula>
    </cfRule>
    <cfRule type="expression" dxfId="871" priority="10008" stopIfTrue="1">
      <formula>$E2371=0</formula>
    </cfRule>
  </conditionalFormatting>
  <conditionalFormatting sqref="G2468:G2494">
    <cfRule type="expression" dxfId="870" priority="10009">
      <formula>$D2468&gt;1</formula>
    </cfRule>
    <cfRule type="expression" dxfId="869" priority="10010">
      <formula>$C2468="%IN"</formula>
    </cfRule>
    <cfRule type="expression" dxfId="868" priority="10011" stopIfTrue="1">
      <formula>$E2468=0</formula>
    </cfRule>
  </conditionalFormatting>
  <conditionalFormatting sqref="G2509:G2517">
    <cfRule type="expression" dxfId="867" priority="10012">
      <formula>$D2509&gt;1</formula>
    </cfRule>
    <cfRule type="expression" dxfId="866" priority="10013">
      <formula>$C2509="%IN"</formula>
    </cfRule>
    <cfRule type="expression" dxfId="865" priority="10014" stopIfTrue="1">
      <formula>$E2509=0</formula>
    </cfRule>
  </conditionalFormatting>
  <conditionalFormatting sqref="G2631:G2636">
    <cfRule type="expression" dxfId="864" priority="10015">
      <formula>$D2631&gt;1</formula>
    </cfRule>
    <cfRule type="expression" dxfId="863" priority="10016">
      <formula>$C2631="%IN"</formula>
    </cfRule>
    <cfRule type="expression" dxfId="862" priority="10017" stopIfTrue="1">
      <formula>$E2631=0</formula>
    </cfRule>
  </conditionalFormatting>
  <conditionalFormatting sqref="G2722:G2731">
    <cfRule type="expression" dxfId="861" priority="10018">
      <formula>$D2722&gt;1</formula>
    </cfRule>
    <cfRule type="expression" dxfId="860" priority="10019">
      <formula>$C2722="%IN"</formula>
    </cfRule>
    <cfRule type="expression" dxfId="859" priority="10020" stopIfTrue="1">
      <formula>$E2722=0</formula>
    </cfRule>
  </conditionalFormatting>
  <conditionalFormatting sqref="G2736:G2746">
    <cfRule type="expression" dxfId="858" priority="10021">
      <formula>$D2736&gt;1</formula>
    </cfRule>
    <cfRule type="expression" dxfId="857" priority="10022">
      <formula>$C2736="%IN"</formula>
    </cfRule>
    <cfRule type="expression" dxfId="856" priority="10023" stopIfTrue="1">
      <formula>$E2736=0</formula>
    </cfRule>
  </conditionalFormatting>
  <conditionalFormatting sqref="G2751:G2759">
    <cfRule type="expression" dxfId="855" priority="10024">
      <formula>$D2751&gt;1</formula>
    </cfRule>
    <cfRule type="expression" dxfId="854" priority="10025">
      <formula>$C2751="%IN"</formula>
    </cfRule>
    <cfRule type="expression" dxfId="853" priority="10026" stopIfTrue="1">
      <formula>$E2751=0</formula>
    </cfRule>
  </conditionalFormatting>
  <conditionalFormatting sqref="G2708:G2717">
    <cfRule type="expression" dxfId="852" priority="10027">
      <formula>$D2708&gt;1</formula>
    </cfRule>
    <cfRule type="expression" dxfId="851" priority="10028">
      <formula>$C2708="%IN"</formula>
    </cfRule>
    <cfRule type="expression" dxfId="850" priority="10029" stopIfTrue="1">
      <formula>$E2708=0</formula>
    </cfRule>
  </conditionalFormatting>
  <conditionalFormatting sqref="I920">
    <cfRule type="expression" dxfId="849" priority="151" stopIfTrue="1">
      <formula>$I920="适用"</formula>
    </cfRule>
    <cfRule type="expression" dxfId="848" priority="152" stopIfTrue="1">
      <formula>$I920="不适用"</formula>
    </cfRule>
  </conditionalFormatting>
  <conditionalFormatting sqref="Q920:Q921 Q923:Q932">
    <cfRule type="expression" dxfId="847" priority="150" stopIfTrue="1">
      <formula>$Q920="请输入"</formula>
    </cfRule>
  </conditionalFormatting>
  <conditionalFormatting sqref="G923:G931">
    <cfRule type="expression" dxfId="846" priority="10030">
      <formula>$D923&gt;1</formula>
    </cfRule>
    <cfRule type="expression" dxfId="845" priority="10031">
      <formula>$C923="%IN"</formula>
    </cfRule>
    <cfRule type="expression" dxfId="844" priority="10032" stopIfTrue="1">
      <formula>$E923=0</formula>
    </cfRule>
  </conditionalFormatting>
  <conditionalFormatting sqref="G2784:G2794">
    <cfRule type="expression" dxfId="843" priority="10036">
      <formula>$D2784&gt;1</formula>
    </cfRule>
    <cfRule type="expression" dxfId="842" priority="10037">
      <formula>$C2784="%IN"</formula>
    </cfRule>
    <cfRule type="expression" dxfId="841" priority="10038" stopIfTrue="1">
      <formula>$E2784=0</formula>
    </cfRule>
  </conditionalFormatting>
  <conditionalFormatting sqref="G2774:G2779">
    <cfRule type="expression" dxfId="840" priority="10039">
      <formula>$D2774&gt;1</formula>
    </cfRule>
    <cfRule type="expression" dxfId="839" priority="10040">
      <formula>$C2774="%IN"</formula>
    </cfRule>
    <cfRule type="expression" dxfId="838" priority="10041" stopIfTrue="1">
      <formula>$E2774=0</formula>
    </cfRule>
  </conditionalFormatting>
  <conditionalFormatting sqref="G2764:G2769">
    <cfRule type="expression" dxfId="837" priority="10042">
      <formula>$D2764&gt;1</formula>
    </cfRule>
    <cfRule type="expression" dxfId="836" priority="10043">
      <formula>$C2764="%IN"</formula>
    </cfRule>
    <cfRule type="expression" dxfId="835" priority="10044" stopIfTrue="1">
      <formula>$E2764=0</formula>
    </cfRule>
  </conditionalFormatting>
  <conditionalFormatting sqref="G2813:G2818">
    <cfRule type="expression" dxfId="834" priority="10045">
      <formula>$D2813&gt;1</formula>
    </cfRule>
    <cfRule type="expression" dxfId="833" priority="10046">
      <formula>$C2813="%IN"</formula>
    </cfRule>
    <cfRule type="expression" dxfId="832" priority="10047" stopIfTrue="1">
      <formula>$E2813=0</formula>
    </cfRule>
  </conditionalFormatting>
  <conditionalFormatting sqref="G2850:G2860">
    <cfRule type="expression" dxfId="831" priority="10048">
      <formula>$D2850&gt;1</formula>
    </cfRule>
    <cfRule type="expression" dxfId="830" priority="10049">
      <formula>$C2850="%IN"</formula>
    </cfRule>
    <cfRule type="expression" dxfId="829" priority="10050" stopIfTrue="1">
      <formula>$E2850=0</formula>
    </cfRule>
  </conditionalFormatting>
  <conditionalFormatting sqref="G2865:G2875">
    <cfRule type="expression" dxfId="828" priority="10051">
      <formula>$D2865&gt;1</formula>
    </cfRule>
    <cfRule type="expression" dxfId="827" priority="10052">
      <formula>$C2865="%IN"</formula>
    </cfRule>
    <cfRule type="expression" dxfId="826" priority="10053" stopIfTrue="1">
      <formula>$E2865=0</formula>
    </cfRule>
  </conditionalFormatting>
  <conditionalFormatting sqref="G2880:G2888">
    <cfRule type="expression" dxfId="825" priority="10054">
      <formula>$D2880&gt;1</formula>
    </cfRule>
    <cfRule type="expression" dxfId="824" priority="10055">
      <formula>$C2880="%IN"</formula>
    </cfRule>
    <cfRule type="expression" dxfId="823" priority="10056" stopIfTrue="1">
      <formula>$E2880=0</formula>
    </cfRule>
  </conditionalFormatting>
  <conditionalFormatting sqref="G2900:G2905">
    <cfRule type="expression" dxfId="822" priority="10057">
      <formula>$D2900&gt;1</formula>
    </cfRule>
    <cfRule type="expression" dxfId="821" priority="10058">
      <formula>$C2900="%IN"</formula>
    </cfRule>
    <cfRule type="expression" dxfId="820" priority="10059" stopIfTrue="1">
      <formula>$E2900=0</formula>
    </cfRule>
  </conditionalFormatting>
  <conditionalFormatting sqref="G3116:G3124">
    <cfRule type="expression" dxfId="819" priority="10060">
      <formula>$D3116&gt;1</formula>
    </cfRule>
    <cfRule type="expression" dxfId="818" priority="10061">
      <formula>$C3116="%IN"</formula>
    </cfRule>
    <cfRule type="expression" dxfId="817" priority="10062" stopIfTrue="1">
      <formula>$E3116=0</formula>
    </cfRule>
  </conditionalFormatting>
  <conditionalFormatting sqref="G3129:G3134">
    <cfRule type="expression" dxfId="816" priority="10063">
      <formula>$D3129&gt;1</formula>
    </cfRule>
    <cfRule type="expression" dxfId="815" priority="10064">
      <formula>$C3129="%IN"</formula>
    </cfRule>
    <cfRule type="expression" dxfId="814" priority="10065" stopIfTrue="1">
      <formula>$E3129=0</formula>
    </cfRule>
  </conditionalFormatting>
  <conditionalFormatting sqref="G3165:G3172">
    <cfRule type="expression" dxfId="813" priority="10073">
      <formula>$D3165&gt;1</formula>
    </cfRule>
    <cfRule type="expression" dxfId="812" priority="10074">
      <formula>$C3165="%IN"</formula>
    </cfRule>
    <cfRule type="expression" dxfId="811" priority="10075" stopIfTrue="1">
      <formula>$E3165=0</formula>
    </cfRule>
  </conditionalFormatting>
  <conditionalFormatting sqref="L3136">
    <cfRule type="expression" dxfId="810" priority="10076" stopIfTrue="1">
      <formula>OR($L$3136="F/S",$L$3136="")</formula>
    </cfRule>
    <cfRule type="cellIs" dxfId="809" priority="10077" stopIfTrue="1" operator="notEqual">
      <formula>0</formula>
    </cfRule>
  </conditionalFormatting>
  <conditionalFormatting sqref="O3136:O3148">
    <cfRule type="expression" dxfId="808" priority="10078" stopIfTrue="1">
      <formula>OR($O$3136="F/S",$O$3136="")</formula>
    </cfRule>
    <cfRule type="cellIs" dxfId="807" priority="10079" stopIfTrue="1" operator="notEqual">
      <formula>0</formula>
    </cfRule>
  </conditionalFormatting>
  <conditionalFormatting sqref="I3136">
    <cfRule type="expression" dxfId="806" priority="137" stopIfTrue="1">
      <formula>$I3136="适用"</formula>
    </cfRule>
    <cfRule type="expression" dxfId="805" priority="138" stopIfTrue="1">
      <formula>$I3136="不适用"</formula>
    </cfRule>
  </conditionalFormatting>
  <conditionalFormatting sqref="Q3136:Q3161">
    <cfRule type="expression" dxfId="804" priority="136" stopIfTrue="1">
      <formula>$Q3136="请输入"</formula>
    </cfRule>
  </conditionalFormatting>
  <conditionalFormatting sqref="L3149">
    <cfRule type="expression" dxfId="803" priority="10083" stopIfTrue="1">
      <formula>OR($L$3149="F/S",$L$3149="")</formula>
    </cfRule>
    <cfRule type="cellIs" dxfId="802" priority="10084" stopIfTrue="1" operator="notEqual">
      <formula>0</formula>
    </cfRule>
  </conditionalFormatting>
  <conditionalFormatting sqref="O3149">
    <cfRule type="expression" dxfId="801" priority="10085" stopIfTrue="1">
      <formula>OR($O$3149="F/S",$O$3149="")</formula>
    </cfRule>
    <cfRule type="cellIs" dxfId="800" priority="10086" stopIfTrue="1" operator="notEqual">
      <formula>0</formula>
    </cfRule>
  </conditionalFormatting>
  <conditionalFormatting sqref="I3149">
    <cfRule type="expression" dxfId="799" priority="130" stopIfTrue="1">
      <formula>$I3149="适用"</formula>
    </cfRule>
    <cfRule type="expression" dxfId="798" priority="131" stopIfTrue="1">
      <formula>$I3149="不适用"</formula>
    </cfRule>
  </conditionalFormatting>
  <conditionalFormatting sqref="Q3149:Q3161">
    <cfRule type="expression" dxfId="797" priority="129" stopIfTrue="1">
      <formula>$Q3149="请输入"</formula>
    </cfRule>
  </conditionalFormatting>
  <conditionalFormatting sqref="G3139:G3147">
    <cfRule type="expression" dxfId="796" priority="10090">
      <formula>$D3139&gt;1</formula>
    </cfRule>
    <cfRule type="expression" dxfId="795" priority="10091">
      <formula>$C3139="%IN"</formula>
    </cfRule>
    <cfRule type="expression" dxfId="794" priority="10092" stopIfTrue="1">
      <formula>$E3139=0</formula>
    </cfRule>
  </conditionalFormatting>
  <conditionalFormatting sqref="G3152:G3160">
    <cfRule type="expression" dxfId="793" priority="10093">
      <formula>$D3152&gt;1</formula>
    </cfRule>
    <cfRule type="expression" dxfId="792" priority="10094">
      <formula>$C3152="%IN"</formula>
    </cfRule>
    <cfRule type="expression" dxfId="791" priority="10095" stopIfTrue="1">
      <formula>$E3152=0</formula>
    </cfRule>
  </conditionalFormatting>
  <conditionalFormatting sqref="G3193:G3198">
    <cfRule type="expression" dxfId="790" priority="10096">
      <formula>$D3193&gt;1</formula>
    </cfRule>
    <cfRule type="expression" dxfId="789" priority="10097">
      <formula>$C3193="%IN"</formula>
    </cfRule>
    <cfRule type="expression" dxfId="788" priority="10098" stopIfTrue="1">
      <formula>$E3193=0</formula>
    </cfRule>
  </conditionalFormatting>
  <conditionalFormatting sqref="G3205:G3210">
    <cfRule type="expression" dxfId="787" priority="10099">
      <formula>$D3205&gt;1</formula>
    </cfRule>
    <cfRule type="expression" dxfId="786" priority="10100">
      <formula>$C3205="%IN"</formula>
    </cfRule>
    <cfRule type="expression" dxfId="785" priority="10101" stopIfTrue="1">
      <formula>$E3205=0</formula>
    </cfRule>
  </conditionalFormatting>
  <conditionalFormatting sqref="G3289:G3296">
    <cfRule type="expression" dxfId="784" priority="10102">
      <formula>$D3289&gt;1</formula>
    </cfRule>
    <cfRule type="expression" dxfId="783" priority="10103">
      <formula>$C3289="%IN"</formula>
    </cfRule>
    <cfRule type="expression" dxfId="782" priority="10104" stopIfTrue="1">
      <formula>$E3289=0</formula>
    </cfRule>
  </conditionalFormatting>
  <conditionalFormatting sqref="G3245:G3254">
    <cfRule type="expression" dxfId="781" priority="10105">
      <formula>$D3245&gt;1</formula>
    </cfRule>
    <cfRule type="expression" dxfId="780" priority="10106">
      <formula>$C3245="%IN"</formula>
    </cfRule>
    <cfRule type="expression" dxfId="779" priority="10107" stopIfTrue="1">
      <formula>$E3245=0</formula>
    </cfRule>
  </conditionalFormatting>
  <conditionalFormatting sqref="G3261:G3267">
    <cfRule type="expression" dxfId="778" priority="10108">
      <formula>$D3261&gt;1</formula>
    </cfRule>
    <cfRule type="expression" dxfId="777" priority="10109">
      <formula>$C3261="%IN"</formula>
    </cfRule>
    <cfRule type="expression" dxfId="776" priority="10110" stopIfTrue="1">
      <formula>$E3261=0</formula>
    </cfRule>
  </conditionalFormatting>
  <conditionalFormatting sqref="G3272:G3274">
    <cfRule type="expression" dxfId="775" priority="10111">
      <formula>$D3272&gt;1</formula>
    </cfRule>
    <cfRule type="expression" dxfId="774" priority="10112">
      <formula>$C3272="%IN"</formula>
    </cfRule>
    <cfRule type="expression" dxfId="773" priority="10113" stopIfTrue="1">
      <formula>$E3272=0</formula>
    </cfRule>
  </conditionalFormatting>
  <conditionalFormatting sqref="G3279:G3284">
    <cfRule type="expression" dxfId="772" priority="10114">
      <formula>$D3279&gt;1</formula>
    </cfRule>
    <cfRule type="expression" dxfId="771" priority="10115">
      <formula>$C3279="%IN"</formula>
    </cfRule>
    <cfRule type="expression" dxfId="770" priority="10116" stopIfTrue="1">
      <formula>$E3279=0</formula>
    </cfRule>
  </conditionalFormatting>
  <conditionalFormatting sqref="G3332:G3337">
    <cfRule type="expression" dxfId="769" priority="10117">
      <formula>$D3332&gt;1</formula>
    </cfRule>
    <cfRule type="expression" dxfId="768" priority="10118">
      <formula>$C3332="%IN"</formula>
    </cfRule>
    <cfRule type="expression" dxfId="767" priority="10119" stopIfTrue="1">
      <formula>$E3332=0</formula>
    </cfRule>
  </conditionalFormatting>
  <conditionalFormatting sqref="G3342:G3347">
    <cfRule type="expression" dxfId="766" priority="10120">
      <formula>$D3342&gt;1</formula>
    </cfRule>
    <cfRule type="expression" dxfId="765" priority="10121">
      <formula>$C3342="%IN"</formula>
    </cfRule>
    <cfRule type="expression" dxfId="764" priority="10122" stopIfTrue="1">
      <formula>$E3342=0</formula>
    </cfRule>
  </conditionalFormatting>
  <conditionalFormatting sqref="G3352:G3357">
    <cfRule type="expression" dxfId="763" priority="10123">
      <formula>$D3352&gt;1</formula>
    </cfRule>
    <cfRule type="expression" dxfId="762" priority="10124">
      <formula>$C3352="%IN"</formula>
    </cfRule>
    <cfRule type="expression" dxfId="761" priority="10125" stopIfTrue="1">
      <formula>$E3352=0</formula>
    </cfRule>
  </conditionalFormatting>
  <conditionalFormatting sqref="G3446:G3452">
    <cfRule type="expression" dxfId="760" priority="10126">
      <formula>$D3446&gt;1</formula>
    </cfRule>
    <cfRule type="expression" dxfId="759" priority="10127">
      <formula>$C3446="%IN"</formula>
    </cfRule>
    <cfRule type="expression" dxfId="758" priority="10128" stopIfTrue="1">
      <formula>$E3446=0</formula>
    </cfRule>
  </conditionalFormatting>
  <conditionalFormatting sqref="G3474:G3479">
    <cfRule type="expression" dxfId="757" priority="10129">
      <formula>$D3474&gt;1</formula>
    </cfRule>
    <cfRule type="expression" dxfId="756" priority="10130">
      <formula>$C3474="%IN"</formula>
    </cfRule>
    <cfRule type="expression" dxfId="755" priority="10131" stopIfTrue="1">
      <formula>$E3474=0</formula>
    </cfRule>
  </conditionalFormatting>
  <conditionalFormatting sqref="G3504:G3509">
    <cfRule type="expression" dxfId="754" priority="10132">
      <formula>$D3504&gt;1</formula>
    </cfRule>
    <cfRule type="expression" dxfId="753" priority="10133">
      <formula>$C3504="%IN"</formula>
    </cfRule>
    <cfRule type="expression" dxfId="752" priority="10134" stopIfTrue="1">
      <formula>$E3504=0</formula>
    </cfRule>
  </conditionalFormatting>
  <conditionalFormatting sqref="G3571:G3576">
    <cfRule type="expression" dxfId="751" priority="10135">
      <formula>$D3571&gt;1</formula>
    </cfRule>
    <cfRule type="expression" dxfId="750" priority="10136">
      <formula>$C3571="%IN"</formula>
    </cfRule>
    <cfRule type="expression" dxfId="749" priority="10137" stopIfTrue="1">
      <formula>$E3571=0</formula>
    </cfRule>
  </conditionalFormatting>
  <conditionalFormatting sqref="G3581:G3586">
    <cfRule type="expression" dxfId="748" priority="10138">
      <formula>$D3581&gt;1</formula>
    </cfRule>
    <cfRule type="expression" dxfId="747" priority="10139">
      <formula>$C3581="%IN"</formula>
    </cfRule>
    <cfRule type="expression" dxfId="746" priority="10140" stopIfTrue="1">
      <formula>$E3581=0</formula>
    </cfRule>
  </conditionalFormatting>
  <conditionalFormatting sqref="G3621:G3626">
    <cfRule type="expression" dxfId="745" priority="10141">
      <formula>$D3621&gt;1</formula>
    </cfRule>
    <cfRule type="expression" dxfId="744" priority="10142">
      <formula>$C3621="%IN"</formula>
    </cfRule>
    <cfRule type="expression" dxfId="743" priority="10143" stopIfTrue="1">
      <formula>$E3621=0</formula>
    </cfRule>
  </conditionalFormatting>
  <conditionalFormatting sqref="G3631:G3648">
    <cfRule type="expression" dxfId="742" priority="10144">
      <formula>$D3631&gt;1</formula>
    </cfRule>
    <cfRule type="expression" dxfId="741" priority="10145">
      <formula>$C3631="%IN"</formula>
    </cfRule>
    <cfRule type="expression" dxfId="740" priority="10146" stopIfTrue="1">
      <formula>$E3631=0</formula>
    </cfRule>
  </conditionalFormatting>
  <conditionalFormatting sqref="G3684:G3711">
    <cfRule type="expression" dxfId="739" priority="10150">
      <formula>$D3684&gt;1</formula>
    </cfRule>
    <cfRule type="expression" dxfId="738" priority="10151">
      <formula>$C3684="%IN"</formula>
    </cfRule>
    <cfRule type="expression" dxfId="737" priority="10152" stopIfTrue="1">
      <formula>$E3684=0</formula>
    </cfRule>
  </conditionalFormatting>
  <conditionalFormatting sqref="G3793:G3798">
    <cfRule type="expression" dxfId="736" priority="10153">
      <formula>$D3793&gt;1</formula>
    </cfRule>
    <cfRule type="expression" dxfId="735" priority="10154">
      <formula>$C3793="%IN"</formula>
    </cfRule>
    <cfRule type="expression" dxfId="734" priority="10155" stopIfTrue="1">
      <formula>$E3793=0</formula>
    </cfRule>
  </conditionalFormatting>
  <conditionalFormatting sqref="G3832:G3837">
    <cfRule type="expression" dxfId="733" priority="10156">
      <formula>$D3832&gt;1</formula>
    </cfRule>
    <cfRule type="expression" dxfId="732" priority="10157">
      <formula>$C3832="%IN"</formula>
    </cfRule>
    <cfRule type="expression" dxfId="731" priority="10158" stopIfTrue="1">
      <formula>$E3832=0</formula>
    </cfRule>
  </conditionalFormatting>
  <conditionalFormatting sqref="G3859:G3864">
    <cfRule type="expression" dxfId="730" priority="10159">
      <formula>$D3859&gt;1</formula>
    </cfRule>
    <cfRule type="expression" dxfId="729" priority="10160">
      <formula>$C3859="%IN"</formula>
    </cfRule>
    <cfRule type="expression" dxfId="728" priority="10161" stopIfTrue="1">
      <formula>$E3859=0</formula>
    </cfRule>
  </conditionalFormatting>
  <conditionalFormatting sqref="G3869:G3874">
    <cfRule type="expression" dxfId="727" priority="10162">
      <formula>$D3869&gt;1</formula>
    </cfRule>
    <cfRule type="expression" dxfId="726" priority="10163">
      <formula>$C3869="%IN"</formula>
    </cfRule>
    <cfRule type="expression" dxfId="725" priority="10164" stopIfTrue="1">
      <formula>$E3869=0</formula>
    </cfRule>
  </conditionalFormatting>
  <conditionalFormatting sqref="G3930:G3935">
    <cfRule type="expression" dxfId="724" priority="10165">
      <formula>$D3930&gt;1</formula>
    </cfRule>
    <cfRule type="expression" dxfId="723" priority="10166">
      <formula>$C3930="%IN"</formula>
    </cfRule>
    <cfRule type="expression" dxfId="722" priority="10167" stopIfTrue="1">
      <formula>$E3930=0</formula>
    </cfRule>
  </conditionalFormatting>
  <conditionalFormatting sqref="G3940:G3945">
    <cfRule type="expression" dxfId="721" priority="10168">
      <formula>$D3940&gt;1</formula>
    </cfRule>
    <cfRule type="expression" dxfId="720" priority="10169">
      <formula>$C3940="%IN"</formula>
    </cfRule>
    <cfRule type="expression" dxfId="719" priority="10170" stopIfTrue="1">
      <formula>$E3940=0</formula>
    </cfRule>
  </conditionalFormatting>
  <conditionalFormatting sqref="G3950:G3955">
    <cfRule type="expression" dxfId="718" priority="10171">
      <formula>$D3950&gt;1</formula>
    </cfRule>
    <cfRule type="expression" dxfId="717" priority="10172">
      <formula>$C3950="%IN"</formula>
    </cfRule>
    <cfRule type="expression" dxfId="716" priority="10173" stopIfTrue="1">
      <formula>$E3950=0</formula>
    </cfRule>
  </conditionalFormatting>
  <conditionalFormatting sqref="G3960:G3965">
    <cfRule type="expression" dxfId="715" priority="10174">
      <formula>$D3960&gt;1</formula>
    </cfRule>
    <cfRule type="expression" dxfId="714" priority="10175">
      <formula>$C3960="%IN"</formula>
    </cfRule>
    <cfRule type="expression" dxfId="713" priority="10176" stopIfTrue="1">
      <formula>$E3960=0</formula>
    </cfRule>
  </conditionalFormatting>
  <conditionalFormatting sqref="G4000:G4008">
    <cfRule type="expression" dxfId="712" priority="10177">
      <formula>$D4000&gt;1</formula>
    </cfRule>
    <cfRule type="expression" dxfId="711" priority="10178">
      <formula>$C4000="%IN"</formula>
    </cfRule>
    <cfRule type="expression" dxfId="710" priority="10179" stopIfTrue="1">
      <formula>$E4000=0</formula>
    </cfRule>
  </conditionalFormatting>
  <conditionalFormatting sqref="G4013:G4018">
    <cfRule type="expression" dxfId="709" priority="10180">
      <formula>$D4013&gt;1</formula>
    </cfRule>
    <cfRule type="expression" dxfId="708" priority="10181">
      <formula>$C4013="%IN"</formula>
    </cfRule>
    <cfRule type="expression" dxfId="707" priority="10182" stopIfTrue="1">
      <formula>$E4013=0</formula>
    </cfRule>
  </conditionalFormatting>
  <conditionalFormatting sqref="G4023:G4028">
    <cfRule type="expression" dxfId="706" priority="10183">
      <formula>$D4023&gt;1</formula>
    </cfRule>
    <cfRule type="expression" dxfId="705" priority="10184">
      <formula>$C4023="%IN"</formula>
    </cfRule>
    <cfRule type="expression" dxfId="704" priority="10185" stopIfTrue="1">
      <formula>$E4023=0</formula>
    </cfRule>
  </conditionalFormatting>
  <conditionalFormatting sqref="G4033:G4038">
    <cfRule type="expression" dxfId="703" priority="10186">
      <formula>$D4033&gt;1</formula>
    </cfRule>
    <cfRule type="expression" dxfId="702" priority="10187">
      <formula>$C4033="%IN"</formula>
    </cfRule>
    <cfRule type="expression" dxfId="701" priority="10188" stopIfTrue="1">
      <formula>$E4033=0</formula>
    </cfRule>
  </conditionalFormatting>
  <conditionalFormatting sqref="G4077:G4082">
    <cfRule type="expression" dxfId="700" priority="10189">
      <formula>$D4077&gt;1</formula>
    </cfRule>
    <cfRule type="expression" dxfId="699" priority="10190">
      <formula>$C4077="%IN"</formula>
    </cfRule>
    <cfRule type="expression" dxfId="698" priority="10191" stopIfTrue="1">
      <formula>$E4077=0</formula>
    </cfRule>
  </conditionalFormatting>
  <conditionalFormatting sqref="G4121:G4127">
    <cfRule type="expression" dxfId="697" priority="10192">
      <formula>$D4121&gt;1</formula>
    </cfRule>
    <cfRule type="expression" dxfId="696" priority="10193">
      <formula>$C4121="%IN"</formula>
    </cfRule>
    <cfRule type="expression" dxfId="695" priority="10194" stopIfTrue="1">
      <formula>$E4121=0</formula>
    </cfRule>
  </conditionalFormatting>
  <conditionalFormatting sqref="G4150:G4155">
    <cfRule type="expression" dxfId="694" priority="10195">
      <formula>$D4150&gt;1</formula>
    </cfRule>
    <cfRule type="expression" dxfId="693" priority="10196">
      <formula>$C4150="%IN"</formula>
    </cfRule>
    <cfRule type="expression" dxfId="692" priority="10197" stopIfTrue="1">
      <formula>$E4150=0</formula>
    </cfRule>
  </conditionalFormatting>
  <conditionalFormatting sqref="G4171:G4176">
    <cfRule type="expression" dxfId="691" priority="10198">
      <formula>$D4171&gt;1</formula>
    </cfRule>
    <cfRule type="expression" dxfId="690" priority="10199">
      <formula>$C4171="%IN"</formula>
    </cfRule>
    <cfRule type="expression" dxfId="689" priority="10200" stopIfTrue="1">
      <formula>$E4171=0</formula>
    </cfRule>
  </conditionalFormatting>
  <conditionalFormatting sqref="G4225:G4231">
    <cfRule type="expression" dxfId="688" priority="10210">
      <formula>$D4225&gt;1</formula>
    </cfRule>
    <cfRule type="expression" dxfId="687" priority="10211">
      <formula>$C4225="%IN"</formula>
    </cfRule>
    <cfRule type="expression" dxfId="686" priority="10212" stopIfTrue="1">
      <formula>$E4225=0</formula>
    </cfRule>
  </conditionalFormatting>
  <conditionalFormatting sqref="G4238:G4244">
    <cfRule type="expression" dxfId="685" priority="10213">
      <formula>$D4238&gt;1</formula>
    </cfRule>
    <cfRule type="expression" dxfId="684" priority="10214">
      <formula>$C4238="%IN"</formula>
    </cfRule>
    <cfRule type="expression" dxfId="683" priority="10215" stopIfTrue="1">
      <formula>$E4238=0</formula>
    </cfRule>
  </conditionalFormatting>
  <conditionalFormatting sqref="G4181:G4196">
    <cfRule type="expression" dxfId="682" priority="10219">
      <formula>$D4181&gt;1</formula>
    </cfRule>
    <cfRule type="expression" dxfId="681" priority="10220">
      <formula>$C4181="%IN"</formula>
    </cfRule>
    <cfRule type="expression" dxfId="680" priority="10221" stopIfTrue="1">
      <formula>$E4181=0</formula>
    </cfRule>
  </conditionalFormatting>
  <conditionalFormatting sqref="G4201:G4211">
    <cfRule type="expression" dxfId="679" priority="10222">
      <formula>$D4201&gt;1</formula>
    </cfRule>
    <cfRule type="expression" dxfId="678" priority="10223">
      <formula>$C4201="%IN"</formula>
    </cfRule>
    <cfRule type="expression" dxfId="677" priority="10224" stopIfTrue="1">
      <formula>$E4201=0</formula>
    </cfRule>
  </conditionalFormatting>
  <conditionalFormatting sqref="G4216:G4220">
    <cfRule type="expression" dxfId="676" priority="10225">
      <formula>$D4216&gt;1</formula>
    </cfRule>
    <cfRule type="expression" dxfId="675" priority="10226">
      <formula>$C4216="%IN"</formula>
    </cfRule>
    <cfRule type="expression" dxfId="674" priority="10227" stopIfTrue="1">
      <formula>$E4216=0</formula>
    </cfRule>
  </conditionalFormatting>
  <conditionalFormatting sqref="G4264:G4267">
    <cfRule type="expression" dxfId="673" priority="10228">
      <formula>$D4264&gt;1</formula>
    </cfRule>
    <cfRule type="expression" dxfId="672" priority="10229">
      <formula>$C4264="%IN"</formula>
    </cfRule>
    <cfRule type="expression" dxfId="671" priority="10230" stopIfTrue="1">
      <formula>$E4264=0</formula>
    </cfRule>
  </conditionalFormatting>
  <conditionalFormatting sqref="G4290:G4295">
    <cfRule type="expression" dxfId="670" priority="10234">
      <formula>$D4290&gt;1</formula>
    </cfRule>
    <cfRule type="expression" dxfId="669" priority="10235">
      <formula>$C4290="%IN"</formula>
    </cfRule>
    <cfRule type="expression" dxfId="668" priority="10236" stopIfTrue="1">
      <formula>$E4290=0</formula>
    </cfRule>
  </conditionalFormatting>
  <conditionalFormatting sqref="G4300:G4305">
    <cfRule type="expression" dxfId="667" priority="10237">
      <formula>$D4300&gt;1</formula>
    </cfRule>
    <cfRule type="expression" dxfId="666" priority="10238">
      <formula>$C4300="%IN"</formula>
    </cfRule>
    <cfRule type="expression" dxfId="665" priority="10239" stopIfTrue="1">
      <formula>$E4300=0</formula>
    </cfRule>
  </conditionalFormatting>
  <conditionalFormatting sqref="G4322:G4327">
    <cfRule type="expression" dxfId="664" priority="10240">
      <formula>$D4322&gt;1</formula>
    </cfRule>
    <cfRule type="expression" dxfId="663" priority="10241">
      <formula>$C4322="%IN"</formula>
    </cfRule>
    <cfRule type="expression" dxfId="662" priority="10242" stopIfTrue="1">
      <formula>$E4322=0</formula>
    </cfRule>
  </conditionalFormatting>
  <conditionalFormatting sqref="G4333:G4338">
    <cfRule type="expression" dxfId="661" priority="10243">
      <formula>$D4333&gt;1</formula>
    </cfRule>
    <cfRule type="expression" dxfId="660" priority="10244">
      <formula>$C4333="%IN"</formula>
    </cfRule>
    <cfRule type="expression" dxfId="659" priority="10245" stopIfTrue="1">
      <formula>$E4333=0</formula>
    </cfRule>
  </conditionalFormatting>
  <conditionalFormatting sqref="G4345:G4348">
    <cfRule type="expression" dxfId="658" priority="10246">
      <formula>$D4345&gt;1</formula>
    </cfRule>
    <cfRule type="expression" dxfId="657" priority="10247">
      <formula>$C4345="%IN"</formula>
    </cfRule>
    <cfRule type="expression" dxfId="656" priority="10248" stopIfTrue="1">
      <formula>$E4345=0</formula>
    </cfRule>
  </conditionalFormatting>
  <conditionalFormatting sqref="G4363:G4364">
    <cfRule type="expression" dxfId="655" priority="10252">
      <formula>$D4363&gt;1</formula>
    </cfRule>
    <cfRule type="expression" dxfId="654" priority="10253">
      <formula>$C4363="%IN"</formula>
    </cfRule>
    <cfRule type="expression" dxfId="653" priority="10254" stopIfTrue="1">
      <formula>$E4363=0</formula>
    </cfRule>
  </conditionalFormatting>
  <conditionalFormatting sqref="G4397:G4410">
    <cfRule type="expression" dxfId="652" priority="10255">
      <formula>$D4397&gt;1</formula>
    </cfRule>
    <cfRule type="expression" dxfId="651" priority="10256">
      <formula>$C4397="%IN"</formula>
    </cfRule>
    <cfRule type="expression" dxfId="650" priority="10257" stopIfTrue="1">
      <formula>$E4397=0</formula>
    </cfRule>
  </conditionalFormatting>
  <conditionalFormatting sqref="G4416:G4421">
    <cfRule type="expression" dxfId="649" priority="10258">
      <formula>$D4416&gt;1</formula>
    </cfRule>
    <cfRule type="expression" dxfId="648" priority="10259">
      <formula>$C4416="%IN"</formula>
    </cfRule>
    <cfRule type="expression" dxfId="647" priority="10260" stopIfTrue="1">
      <formula>$E4416=0</formula>
    </cfRule>
  </conditionalFormatting>
  <conditionalFormatting sqref="G4440:G4446">
    <cfRule type="expression" dxfId="646" priority="10261">
      <formula>$D4440&gt;1</formula>
    </cfRule>
    <cfRule type="expression" dxfId="645" priority="10262">
      <formula>$C4440="%IN"</formula>
    </cfRule>
    <cfRule type="expression" dxfId="644" priority="10263" stopIfTrue="1">
      <formula>$E4440=0</formula>
    </cfRule>
  </conditionalFormatting>
  <conditionalFormatting sqref="G4477:G4483">
    <cfRule type="expression" dxfId="643" priority="10264">
      <formula>$D4477&gt;1</formula>
    </cfRule>
    <cfRule type="expression" dxfId="642" priority="10265">
      <formula>$C4477="%IN"</formula>
    </cfRule>
    <cfRule type="expression" dxfId="641" priority="10266" stopIfTrue="1">
      <formula>$E4477=0</formula>
    </cfRule>
  </conditionalFormatting>
  <conditionalFormatting sqref="G4493:G4496">
    <cfRule type="expression" dxfId="640" priority="10267">
      <formula>$D4493&gt;1</formula>
    </cfRule>
    <cfRule type="expression" dxfId="639" priority="10268">
      <formula>$C4493="%IN"</formula>
    </cfRule>
    <cfRule type="expression" dxfId="638" priority="10269" stopIfTrue="1">
      <formula>$E4493=0</formula>
    </cfRule>
  </conditionalFormatting>
  <conditionalFormatting sqref="G4501:G4505">
    <cfRule type="expression" dxfId="637" priority="10270">
      <formula>$D4501&gt;1</formula>
    </cfRule>
    <cfRule type="expression" dxfId="636" priority="10271">
      <formula>$C4501="%IN"</formula>
    </cfRule>
    <cfRule type="expression" dxfId="635" priority="10272" stopIfTrue="1">
      <formula>$E4501=0</formula>
    </cfRule>
  </conditionalFormatting>
  <conditionalFormatting sqref="G4510:G4514">
    <cfRule type="expression" dxfId="634" priority="10273">
      <formula>$D4510&gt;1</formula>
    </cfRule>
    <cfRule type="expression" dxfId="633" priority="10274">
      <formula>$C4510="%IN"</formula>
    </cfRule>
    <cfRule type="expression" dxfId="632" priority="10275" stopIfTrue="1">
      <formula>$E4510=0</formula>
    </cfRule>
  </conditionalFormatting>
  <conditionalFormatting sqref="G4521:G4531">
    <cfRule type="expression" dxfId="631" priority="10276">
      <formula>$D4521&gt;1</formula>
    </cfRule>
    <cfRule type="expression" dxfId="630" priority="10277">
      <formula>$C4521="%IN"</formula>
    </cfRule>
    <cfRule type="expression" dxfId="629" priority="10278" stopIfTrue="1">
      <formula>$E4521=0</formula>
    </cfRule>
  </conditionalFormatting>
  <conditionalFormatting sqref="G4545:G4554">
    <cfRule type="expression" dxfId="628" priority="10279">
      <formula>$D4545&gt;1</formula>
    </cfRule>
    <cfRule type="expression" dxfId="627" priority="10280">
      <formula>$C4545="%IN"</formula>
    </cfRule>
    <cfRule type="expression" dxfId="626" priority="10281" stopIfTrue="1">
      <formula>$E4545=0</formula>
    </cfRule>
  </conditionalFormatting>
  <conditionalFormatting sqref="G4568:G4573">
    <cfRule type="expression" dxfId="625" priority="10282">
      <formula>$D4568&gt;1</formula>
    </cfRule>
    <cfRule type="expression" dxfId="624" priority="10283">
      <formula>$C4568="%IN"</formula>
    </cfRule>
    <cfRule type="expression" dxfId="623" priority="10284" stopIfTrue="1">
      <formula>$E4568=0</formula>
    </cfRule>
  </conditionalFormatting>
  <conditionalFormatting sqref="G4585:G4595">
    <cfRule type="expression" dxfId="622" priority="10285">
      <formula>$D4585&gt;1</formula>
    </cfRule>
    <cfRule type="expression" dxfId="621" priority="10286">
      <formula>$C4585="%IN"</formula>
    </cfRule>
    <cfRule type="expression" dxfId="620" priority="10287" stopIfTrue="1">
      <formula>$E4585=0</formula>
    </cfRule>
  </conditionalFormatting>
  <conditionalFormatting sqref="G4600:G4610">
    <cfRule type="expression" dxfId="619" priority="10288">
      <formula>$D4600&gt;1</formula>
    </cfRule>
    <cfRule type="expression" dxfId="618" priority="10289">
      <formula>$C4600="%IN"</formula>
    </cfRule>
    <cfRule type="expression" dxfId="617" priority="10290" stopIfTrue="1">
      <formula>$E4600=0</formula>
    </cfRule>
  </conditionalFormatting>
  <conditionalFormatting sqref="G4615:G4620">
    <cfRule type="expression" dxfId="616" priority="10291">
      <formula>$D4615&gt;1</formula>
    </cfRule>
    <cfRule type="expression" dxfId="615" priority="10292">
      <formula>$C4615="%IN"</formula>
    </cfRule>
    <cfRule type="expression" dxfId="614" priority="10293" stopIfTrue="1">
      <formula>$E4615=0</formula>
    </cfRule>
  </conditionalFormatting>
  <conditionalFormatting sqref="G4625:G4630">
    <cfRule type="expression" dxfId="613" priority="10294">
      <formula>$D4625&gt;1</formula>
    </cfRule>
    <cfRule type="expression" dxfId="612" priority="10295">
      <formula>$C4625="%IN"</formula>
    </cfRule>
    <cfRule type="expression" dxfId="611" priority="10296" stopIfTrue="1">
      <formula>$E4625=0</formula>
    </cfRule>
  </conditionalFormatting>
  <conditionalFormatting sqref="G4655:G4660">
    <cfRule type="expression" dxfId="610" priority="10300">
      <formula>$D4655&gt;1</formula>
    </cfRule>
    <cfRule type="expression" dxfId="609" priority="10301">
      <formula>$C4655="%IN"</formula>
    </cfRule>
    <cfRule type="expression" dxfId="608" priority="10302" stopIfTrue="1">
      <formula>$E4655=0</formula>
    </cfRule>
  </conditionalFormatting>
  <conditionalFormatting sqref="G4686:G4691">
    <cfRule type="expression" dxfId="607" priority="10303">
      <formula>$D4686&gt;1</formula>
    </cfRule>
    <cfRule type="expression" dxfId="606" priority="10304">
      <formula>$C4686="%IN"</formula>
    </cfRule>
    <cfRule type="expression" dxfId="605" priority="10305" stopIfTrue="1">
      <formula>$E4686=0</formula>
    </cfRule>
  </conditionalFormatting>
  <conditionalFormatting sqref="G4697:G4712">
    <cfRule type="expression" dxfId="604" priority="10306">
      <formula>$D4697&gt;1</formula>
    </cfRule>
    <cfRule type="expression" dxfId="603" priority="10307">
      <formula>$C4697="%IN"</formula>
    </cfRule>
    <cfRule type="expression" dxfId="602" priority="10308" stopIfTrue="1">
      <formula>$E4697=0</formula>
    </cfRule>
  </conditionalFormatting>
  <conditionalFormatting sqref="G4717:G4722">
    <cfRule type="expression" dxfId="601" priority="10309">
      <formula>$D4717&gt;1</formula>
    </cfRule>
    <cfRule type="expression" dxfId="600" priority="10310">
      <formula>$C4717="%IN"</formula>
    </cfRule>
    <cfRule type="expression" dxfId="599" priority="10311" stopIfTrue="1">
      <formula>$E4717=0</formula>
    </cfRule>
  </conditionalFormatting>
  <conditionalFormatting sqref="G4768:G4773">
    <cfRule type="expression" dxfId="598" priority="10312">
      <formula>$D4768&gt;1</formula>
    </cfRule>
    <cfRule type="expression" dxfId="597" priority="10313">
      <formula>$C4768="%IN"</formula>
    </cfRule>
    <cfRule type="expression" dxfId="596" priority="10314" stopIfTrue="1">
      <formula>$E4768=0</formula>
    </cfRule>
  </conditionalFormatting>
  <conditionalFormatting sqref="G4779:G4788">
    <cfRule type="expression" dxfId="595" priority="10315">
      <formula>$D4779&gt;1</formula>
    </cfRule>
    <cfRule type="expression" dxfId="594" priority="10316">
      <formula>$C4779="%IN"</formula>
    </cfRule>
    <cfRule type="expression" dxfId="593" priority="10317" stopIfTrue="1">
      <formula>$E4779=0</formula>
    </cfRule>
  </conditionalFormatting>
  <conditionalFormatting sqref="L4835:L4847">
    <cfRule type="expression" dxfId="592" priority="10318" stopIfTrue="1">
      <formula>OR($L$4835="F/S",$L$4835="")</formula>
    </cfRule>
    <cfRule type="cellIs" dxfId="591" priority="10319" stopIfTrue="1" operator="notEqual">
      <formula>0</formula>
    </cfRule>
  </conditionalFormatting>
  <conditionalFormatting sqref="O4835:O4847">
    <cfRule type="expression" dxfId="590" priority="10320" stopIfTrue="1">
      <formula>OR($O$4835="F/S",$O$4835="")</formula>
    </cfRule>
    <cfRule type="cellIs" dxfId="589" priority="10321" stopIfTrue="1" operator="notEqual">
      <formula>0</formula>
    </cfRule>
  </conditionalFormatting>
  <conditionalFormatting sqref="I4835">
    <cfRule type="expression" dxfId="588" priority="123" stopIfTrue="1">
      <formula>$I4835="适用"</formula>
    </cfRule>
    <cfRule type="expression" dxfId="587" priority="124" stopIfTrue="1">
      <formula>$I4835="不适用"</formula>
    </cfRule>
  </conditionalFormatting>
  <conditionalFormatting sqref="Q4835:Q4847">
    <cfRule type="expression" dxfId="586" priority="122" stopIfTrue="1">
      <formula>$Q4835="请输入"</formula>
    </cfRule>
  </conditionalFormatting>
  <conditionalFormatting sqref="G4838:G4846">
    <cfRule type="expression" dxfId="585" priority="10322">
      <formula>$D4838&gt;1</formula>
    </cfRule>
    <cfRule type="expression" dxfId="584" priority="10323">
      <formula>$C4838="%IN"</formula>
    </cfRule>
    <cfRule type="expression" dxfId="583" priority="10324" stopIfTrue="1">
      <formula>$E4838=0</formula>
    </cfRule>
  </conditionalFormatting>
  <conditionalFormatting sqref="G4851:G4859">
    <cfRule type="expression" dxfId="582" priority="10325">
      <formula>$D4851&gt;1</formula>
    </cfRule>
    <cfRule type="expression" dxfId="581" priority="10326">
      <formula>$C4851="%IN"</formula>
    </cfRule>
    <cfRule type="expression" dxfId="580" priority="10327" stopIfTrue="1">
      <formula>$E4851=0</formula>
    </cfRule>
  </conditionalFormatting>
  <conditionalFormatting sqref="G4452:G4454">
    <cfRule type="expression" dxfId="579" priority="10328">
      <formula>$D4452&gt;1</formula>
    </cfRule>
    <cfRule type="expression" dxfId="578" priority="10329">
      <formula>$C4452="%IN"</formula>
    </cfRule>
    <cfRule type="expression" dxfId="577" priority="10330" stopIfTrue="1">
      <formula>$E4452=0</formula>
    </cfRule>
  </conditionalFormatting>
  <conditionalFormatting sqref="G4929:G4934">
    <cfRule type="expression" dxfId="576" priority="10331">
      <formula>$D4929&gt;1</formula>
    </cfRule>
    <cfRule type="expression" dxfId="575" priority="10332">
      <formula>$C4929="%IN"</formula>
    </cfRule>
    <cfRule type="expression" dxfId="574" priority="10333" stopIfTrue="1">
      <formula>$E4929=0</formula>
    </cfRule>
  </conditionalFormatting>
  <conditionalFormatting sqref="G4947:G4954">
    <cfRule type="expression" dxfId="573" priority="10334">
      <formula>$D4947&gt;1</formula>
    </cfRule>
    <cfRule type="expression" dxfId="572" priority="10335">
      <formula>$C4947="%IN"</formula>
    </cfRule>
    <cfRule type="expression" dxfId="571" priority="10336" stopIfTrue="1">
      <formula>$E4947=0</formula>
    </cfRule>
  </conditionalFormatting>
  <conditionalFormatting sqref="G5001:G5006">
    <cfRule type="expression" dxfId="570" priority="10340">
      <formula>$D5001&gt;1</formula>
    </cfRule>
    <cfRule type="expression" dxfId="569" priority="10341">
      <formula>$C5001="%IN"</formula>
    </cfRule>
    <cfRule type="expression" dxfId="568" priority="10342" stopIfTrue="1">
      <formula>$E5001=0</formula>
    </cfRule>
  </conditionalFormatting>
  <conditionalFormatting sqref="G5011:G5016">
    <cfRule type="expression" dxfId="567" priority="10343">
      <formula>$D5011&gt;1</formula>
    </cfRule>
    <cfRule type="expression" dxfId="566" priority="10344">
      <formula>$C5011="%IN"</formula>
    </cfRule>
    <cfRule type="expression" dxfId="565" priority="10345" stopIfTrue="1">
      <formula>$E5011=0</formula>
    </cfRule>
  </conditionalFormatting>
  <conditionalFormatting sqref="G5023:G5033">
    <cfRule type="expression" dxfId="564" priority="10346">
      <formula>$D5023&gt;1</formula>
    </cfRule>
    <cfRule type="expression" dxfId="563" priority="10347">
      <formula>$C5023="%IN"</formula>
    </cfRule>
    <cfRule type="expression" dxfId="562" priority="10348" stopIfTrue="1">
      <formula>$E5023=0</formula>
    </cfRule>
  </conditionalFormatting>
  <conditionalFormatting sqref="G5039:G5049">
    <cfRule type="expression" dxfId="561" priority="10349">
      <formula>$D5039&gt;1</formula>
    </cfRule>
    <cfRule type="expression" dxfId="560" priority="10350">
      <formula>$C5039="%IN"</formula>
    </cfRule>
    <cfRule type="expression" dxfId="559" priority="10351" stopIfTrue="1">
      <formula>$E5039=0</formula>
    </cfRule>
  </conditionalFormatting>
  <conditionalFormatting sqref="G5055:G5060">
    <cfRule type="expression" dxfId="558" priority="10352">
      <formula>$D5055&gt;1</formula>
    </cfRule>
    <cfRule type="expression" dxfId="557" priority="10353">
      <formula>$C5055="%IN"</formula>
    </cfRule>
    <cfRule type="expression" dxfId="556" priority="10354" stopIfTrue="1">
      <formula>$E5055=0</formula>
    </cfRule>
  </conditionalFormatting>
  <conditionalFormatting sqref="G5066:G5071">
    <cfRule type="expression" dxfId="555" priority="10355">
      <formula>$D5066&gt;1</formula>
    </cfRule>
    <cfRule type="expression" dxfId="554" priority="10356">
      <formula>$C5066="%IN"</formula>
    </cfRule>
    <cfRule type="expression" dxfId="553" priority="10357" stopIfTrue="1">
      <formula>$E5066=0</formula>
    </cfRule>
  </conditionalFormatting>
  <conditionalFormatting sqref="G5077:G5082">
    <cfRule type="expression" dxfId="552" priority="10358">
      <formula>$D5077&gt;1</formula>
    </cfRule>
    <cfRule type="expression" dxfId="551" priority="10359">
      <formula>$C5077="%IN"</formula>
    </cfRule>
    <cfRule type="expression" dxfId="550" priority="10360" stopIfTrue="1">
      <formula>$E5077=0</formula>
    </cfRule>
  </conditionalFormatting>
  <conditionalFormatting sqref="G5088:G5093">
    <cfRule type="expression" dxfId="549" priority="10361">
      <formula>$D5088&gt;1</formula>
    </cfRule>
    <cfRule type="expression" dxfId="548" priority="10362">
      <formula>$C5088="%IN"</formula>
    </cfRule>
    <cfRule type="expression" dxfId="547" priority="10363" stopIfTrue="1">
      <formula>$E5088=0</formula>
    </cfRule>
  </conditionalFormatting>
  <conditionalFormatting sqref="G5175:G5180">
    <cfRule type="expression" dxfId="546" priority="10364">
      <formula>$D5175&gt;1</formula>
    </cfRule>
    <cfRule type="expression" dxfId="545" priority="10365">
      <formula>$C5175="%IN"</formula>
    </cfRule>
    <cfRule type="expression" dxfId="544" priority="10366" stopIfTrue="1">
      <formula>$E5175=0</formula>
    </cfRule>
  </conditionalFormatting>
  <conditionalFormatting sqref="G5197:G5205">
    <cfRule type="expression" dxfId="543" priority="10373">
      <formula>$D5197&gt;1</formula>
    </cfRule>
    <cfRule type="expression" dxfId="542" priority="10374">
      <formula>$C5197="%IN"</formula>
    </cfRule>
    <cfRule type="expression" dxfId="541" priority="10375" stopIfTrue="1">
      <formula>$E5197=0</formula>
    </cfRule>
  </conditionalFormatting>
  <conditionalFormatting sqref="G5551:G5555">
    <cfRule type="expression" dxfId="540" priority="10379">
      <formula>$D5551&gt;1</formula>
    </cfRule>
    <cfRule type="expression" dxfId="539" priority="10380">
      <formula>$C5551="%IN"</formula>
    </cfRule>
    <cfRule type="expression" dxfId="538" priority="10381" stopIfTrue="1">
      <formula>$E5551=0</formula>
    </cfRule>
  </conditionalFormatting>
  <conditionalFormatting sqref="G5624:G5632">
    <cfRule type="expression" dxfId="537" priority="10382">
      <formula>$D5624&gt;1</formula>
    </cfRule>
    <cfRule type="expression" dxfId="536" priority="10383">
      <formula>$C5624="%IN"</formula>
    </cfRule>
    <cfRule type="expression" dxfId="535" priority="10384" stopIfTrue="1">
      <formula>$E5624=0</formula>
    </cfRule>
  </conditionalFormatting>
  <conditionalFormatting sqref="G5637:G5645">
    <cfRule type="expression" dxfId="534" priority="10385">
      <formula>$D5637&gt;1</formula>
    </cfRule>
    <cfRule type="expression" dxfId="533" priority="10386">
      <formula>$C5637="%IN"</formula>
    </cfRule>
    <cfRule type="expression" dxfId="532" priority="10387" stopIfTrue="1">
      <formula>$E5637=0</formula>
    </cfRule>
  </conditionalFormatting>
  <conditionalFormatting sqref="G5650:G5655">
    <cfRule type="expression" dxfId="531" priority="10388">
      <formula>$D5650&gt;1</formula>
    </cfRule>
    <cfRule type="expression" dxfId="530" priority="10389">
      <formula>$C5650="%IN"</formula>
    </cfRule>
    <cfRule type="expression" dxfId="529" priority="10390" stopIfTrue="1">
      <formula>$E5650=0</formula>
    </cfRule>
  </conditionalFormatting>
  <conditionalFormatting sqref="G5660:G5665">
    <cfRule type="expression" dxfId="528" priority="10391">
      <formula>$D5660&gt;1</formula>
    </cfRule>
    <cfRule type="expression" dxfId="527" priority="10392">
      <formula>$C5660="%IN"</formula>
    </cfRule>
    <cfRule type="expression" dxfId="526" priority="10393" stopIfTrue="1">
      <formula>$E5660=0</formula>
    </cfRule>
  </conditionalFormatting>
  <conditionalFormatting sqref="G5670:G5675">
    <cfRule type="expression" dxfId="525" priority="10394">
      <formula>$D5670&gt;1</formula>
    </cfRule>
    <cfRule type="expression" dxfId="524" priority="10395">
      <formula>$C5670="%IN"</formula>
    </cfRule>
    <cfRule type="expression" dxfId="523" priority="10396" stopIfTrue="1">
      <formula>$E5670=0</formula>
    </cfRule>
  </conditionalFormatting>
  <conditionalFormatting sqref="G5680:G5685">
    <cfRule type="expression" dxfId="522" priority="10397">
      <formula>$D5680&gt;1</formula>
    </cfRule>
    <cfRule type="expression" dxfId="521" priority="10398">
      <formula>$C5680="%IN"</formula>
    </cfRule>
    <cfRule type="expression" dxfId="520" priority="10399" stopIfTrue="1">
      <formula>$E5680=0</formula>
    </cfRule>
  </conditionalFormatting>
  <conditionalFormatting sqref="G5700:G5705">
    <cfRule type="expression" dxfId="519" priority="10400">
      <formula>$D5700&gt;1</formula>
    </cfRule>
    <cfRule type="expression" dxfId="518" priority="10401">
      <formula>$C5700="%IN"</formula>
    </cfRule>
    <cfRule type="expression" dxfId="517" priority="10402" stopIfTrue="1">
      <formula>$E5700=0</formula>
    </cfRule>
  </conditionalFormatting>
  <conditionalFormatting sqref="G5720:G5725">
    <cfRule type="expression" dxfId="516" priority="10403">
      <formula>$D5720&gt;1</formula>
    </cfRule>
    <cfRule type="expression" dxfId="515" priority="10404">
      <formula>$C5720="%IN"</formula>
    </cfRule>
    <cfRule type="expression" dxfId="514" priority="10405" stopIfTrue="1">
      <formula>$E5720=0</formula>
    </cfRule>
  </conditionalFormatting>
  <conditionalFormatting sqref="G5750:G5758">
    <cfRule type="expression" dxfId="513" priority="10406">
      <formula>$D5750&gt;1</formula>
    </cfRule>
    <cfRule type="expression" dxfId="512" priority="10407">
      <formula>$C5750="%IN"</formula>
    </cfRule>
    <cfRule type="expression" dxfId="511" priority="10408" stopIfTrue="1">
      <formula>$E5750=0</formula>
    </cfRule>
  </conditionalFormatting>
  <conditionalFormatting sqref="G5763:G5771">
    <cfRule type="expression" dxfId="510" priority="10409">
      <formula>$D5763&gt;1</formula>
    </cfRule>
    <cfRule type="expression" dxfId="509" priority="10410">
      <formula>$C5763="%IN"</formula>
    </cfRule>
    <cfRule type="expression" dxfId="508" priority="10411" stopIfTrue="1">
      <formula>$E5763=0</formula>
    </cfRule>
  </conditionalFormatting>
  <conditionalFormatting sqref="I5795">
    <cfRule type="expression" dxfId="507" priority="110" stopIfTrue="1">
      <formula>$I5795="适用"</formula>
    </cfRule>
    <cfRule type="expression" dxfId="506" priority="111" stopIfTrue="1">
      <formula>$I5795="不适用"</formula>
    </cfRule>
  </conditionalFormatting>
  <conditionalFormatting sqref="G5798:G5801">
    <cfRule type="expression" dxfId="505" priority="10412">
      <formula>$D5798&gt;1</formula>
    </cfRule>
    <cfRule type="expression" dxfId="504" priority="10413">
      <formula>$C5798="%IN"</formula>
    </cfRule>
    <cfRule type="expression" dxfId="503" priority="10414" stopIfTrue="1">
      <formula>$E5798=0</formula>
    </cfRule>
  </conditionalFormatting>
  <conditionalFormatting sqref="G5849:G5854">
    <cfRule type="expression" dxfId="502" priority="10415">
      <formula>$D5849&gt;1</formula>
    </cfRule>
    <cfRule type="expression" dxfId="501" priority="10416">
      <formula>$C5849="%IN"</formula>
    </cfRule>
    <cfRule type="expression" dxfId="500" priority="10417" stopIfTrue="1">
      <formula>$E5849=0</formula>
    </cfRule>
  </conditionalFormatting>
  <conditionalFormatting sqref="G5859:G5864">
    <cfRule type="expression" dxfId="499" priority="10418">
      <formula>$D5859&gt;1</formula>
    </cfRule>
    <cfRule type="expression" dxfId="498" priority="10419">
      <formula>$C5859="%IN"</formula>
    </cfRule>
    <cfRule type="expression" dxfId="497" priority="10420" stopIfTrue="1">
      <formula>$E5859=0</formula>
    </cfRule>
  </conditionalFormatting>
  <conditionalFormatting sqref="G1508">
    <cfRule type="expression" dxfId="496" priority="103">
      <formula>$D1508&gt;1</formula>
    </cfRule>
    <cfRule type="expression" dxfId="495" priority="104">
      <formula>$C1508="%IN"</formula>
    </cfRule>
    <cfRule type="expression" dxfId="494" priority="105" stopIfTrue="1">
      <formula>$E1508=0</formula>
    </cfRule>
  </conditionalFormatting>
  <conditionalFormatting sqref="G4272:G4277">
    <cfRule type="expression" dxfId="493" priority="10421">
      <formula>$D4272&gt;1</formula>
    </cfRule>
    <cfRule type="expression" dxfId="492" priority="10422">
      <formula>$C4272="%IN"</formula>
    </cfRule>
    <cfRule type="expression" dxfId="491" priority="10423" stopIfTrue="1">
      <formula>$E4272=0</formula>
    </cfRule>
  </conditionalFormatting>
  <conditionalFormatting sqref="G6166:G6182">
    <cfRule type="expression" dxfId="490" priority="10424">
      <formula>$D6166&gt;1</formula>
    </cfRule>
    <cfRule type="expression" dxfId="489" priority="10425">
      <formula>$C6166="%IN"</formula>
    </cfRule>
    <cfRule type="expression" dxfId="488" priority="10426" stopIfTrue="1">
      <formula>$E6166=0</formula>
    </cfRule>
  </conditionalFormatting>
  <conditionalFormatting sqref="G141:G144">
    <cfRule type="expression" dxfId="487" priority="10427">
      <formula>$D141&gt;1</formula>
    </cfRule>
    <cfRule type="expression" dxfId="486" priority="10428">
      <formula>$C141="%IN"</formula>
    </cfRule>
    <cfRule type="expression" dxfId="485" priority="10429" stopIfTrue="1">
      <formula>$E141=0</formula>
    </cfRule>
  </conditionalFormatting>
  <conditionalFormatting sqref="G604:G609">
    <cfRule type="expression" dxfId="484" priority="10430">
      <formula>$D604&gt;1</formula>
    </cfRule>
    <cfRule type="expression" dxfId="483" priority="10431">
      <formula>$C604="%IN"</formula>
    </cfRule>
    <cfRule type="expression" dxfId="482" priority="10432" stopIfTrue="1">
      <formula>$E604=0</formula>
    </cfRule>
  </conditionalFormatting>
  <conditionalFormatting sqref="G614:G616">
    <cfRule type="expression" dxfId="481" priority="10433">
      <formula>$D614&gt;1</formula>
    </cfRule>
    <cfRule type="expression" dxfId="480" priority="10434">
      <formula>$C614="%IN"</formula>
    </cfRule>
    <cfRule type="expression" dxfId="479" priority="10435" stopIfTrue="1">
      <formula>$E614=0</formula>
    </cfRule>
  </conditionalFormatting>
  <conditionalFormatting sqref="G621:G626">
    <cfRule type="expression" dxfId="478" priority="10436">
      <formula>$D621&gt;1</formula>
    </cfRule>
    <cfRule type="expression" dxfId="477" priority="10437">
      <formula>$C621="%IN"</formula>
    </cfRule>
    <cfRule type="expression" dxfId="476" priority="10438" stopIfTrue="1">
      <formula>$E621=0</formula>
    </cfRule>
  </conditionalFormatting>
  <conditionalFormatting sqref="G651:G656">
    <cfRule type="expression" dxfId="475" priority="10439">
      <formula>$D651&gt;1</formula>
    </cfRule>
    <cfRule type="expression" dxfId="474" priority="10440">
      <formula>$C651="%IN"</formula>
    </cfRule>
    <cfRule type="expression" dxfId="473" priority="10441" stopIfTrue="1">
      <formula>$E651=0</formula>
    </cfRule>
  </conditionalFormatting>
  <conditionalFormatting sqref="G661:G666">
    <cfRule type="expression" dxfId="472" priority="10442">
      <formula>$D661&gt;1</formula>
    </cfRule>
    <cfRule type="expression" dxfId="471" priority="10443">
      <formula>$C661="%IN"</formula>
    </cfRule>
    <cfRule type="expression" dxfId="470" priority="10444" stopIfTrue="1">
      <formula>$E661=0</formula>
    </cfRule>
  </conditionalFormatting>
  <conditionalFormatting sqref="G1016:G1025">
    <cfRule type="expression" dxfId="469" priority="10445">
      <formula>$D1016&gt;1</formula>
    </cfRule>
    <cfRule type="expression" dxfId="468" priority="10446">
      <formula>$C1016="%IN"</formula>
    </cfRule>
    <cfRule type="expression" dxfId="467" priority="10447" stopIfTrue="1">
      <formula>$E1016=0</formula>
    </cfRule>
  </conditionalFormatting>
  <conditionalFormatting sqref="G1513:G1518">
    <cfRule type="expression" dxfId="466" priority="10448">
      <formula>$D1513&gt;1</formula>
    </cfRule>
    <cfRule type="expression" dxfId="465" priority="10449">
      <formula>$C1513="%IN"</formula>
    </cfRule>
    <cfRule type="expression" dxfId="464" priority="10450" stopIfTrue="1">
      <formula>$E1513=0</formula>
    </cfRule>
  </conditionalFormatting>
  <conditionalFormatting sqref="G1523:G1525">
    <cfRule type="expression" dxfId="463" priority="10451">
      <formula>$D1523&gt;1</formula>
    </cfRule>
    <cfRule type="expression" dxfId="462" priority="10452">
      <formula>$C1523="%IN"</formula>
    </cfRule>
    <cfRule type="expression" dxfId="461" priority="10453" stopIfTrue="1">
      <formula>$E1523=0</formula>
    </cfRule>
  </conditionalFormatting>
  <conditionalFormatting sqref="G1530:G1535">
    <cfRule type="expression" dxfId="460" priority="10454">
      <formula>$D1530&gt;1</formula>
    </cfRule>
    <cfRule type="expression" dxfId="459" priority="10455">
      <formula>$C1530="%IN"</formula>
    </cfRule>
    <cfRule type="expression" dxfId="458" priority="10456" stopIfTrue="1">
      <formula>$E1530=0</formula>
    </cfRule>
  </conditionalFormatting>
  <conditionalFormatting sqref="G1560:G1565">
    <cfRule type="expression" dxfId="457" priority="10457">
      <formula>$D1560&gt;1</formula>
    </cfRule>
    <cfRule type="expression" dxfId="456" priority="10458">
      <formula>$C1560="%IN"</formula>
    </cfRule>
    <cfRule type="expression" dxfId="455" priority="10459" stopIfTrue="1">
      <formula>$E1560=0</formula>
    </cfRule>
  </conditionalFormatting>
  <conditionalFormatting sqref="G1570:G1575">
    <cfRule type="expression" dxfId="454" priority="10460">
      <formula>$D1570&gt;1</formula>
    </cfRule>
    <cfRule type="expression" dxfId="453" priority="10461">
      <formula>$C1570="%IN"</formula>
    </cfRule>
    <cfRule type="expression" dxfId="452" priority="10462" stopIfTrue="1">
      <formula>$E1570=0</formula>
    </cfRule>
  </conditionalFormatting>
  <conditionalFormatting sqref="G1580:G1585">
    <cfRule type="expression" dxfId="451" priority="10463">
      <formula>$D1580&gt;1</formula>
    </cfRule>
    <cfRule type="expression" dxfId="450" priority="10464">
      <formula>$C1580="%IN"</formula>
    </cfRule>
    <cfRule type="expression" dxfId="449" priority="10465" stopIfTrue="1">
      <formula>$E1580=0</formula>
    </cfRule>
  </conditionalFormatting>
  <conditionalFormatting sqref="L236:L250">
    <cfRule type="expression" dxfId="448" priority="10466" stopIfTrue="1">
      <formula>OR($L$236="F/S",$L$236="")</formula>
    </cfRule>
    <cfRule type="cellIs" dxfId="447" priority="10467" stopIfTrue="1" operator="notEqual">
      <formula>0</formula>
    </cfRule>
  </conditionalFormatting>
  <conditionalFormatting sqref="O236:O250">
    <cfRule type="expression" dxfId="446" priority="10468" stopIfTrue="1">
      <formula>OR($O$236="F/S",$O$236="")</formula>
    </cfRule>
    <cfRule type="cellIs" dxfId="445" priority="10469" stopIfTrue="1" operator="notEqual">
      <formula>0</formula>
    </cfRule>
  </conditionalFormatting>
  <conditionalFormatting sqref="I236">
    <cfRule type="expression" dxfId="444" priority="101" stopIfTrue="1">
      <formula>$I236="适用"</formula>
    </cfRule>
    <cfRule type="expression" dxfId="443" priority="102" stopIfTrue="1">
      <formula>$I236="不适用"</formula>
    </cfRule>
  </conditionalFormatting>
  <conditionalFormatting sqref="Q236:Q250">
    <cfRule type="expression" dxfId="442" priority="100" stopIfTrue="1">
      <formula>$Q236="请输入"</formula>
    </cfRule>
  </conditionalFormatting>
  <conditionalFormatting sqref="G241:G249">
    <cfRule type="expression" dxfId="441" priority="10470">
      <formula>$D241&gt;1</formula>
    </cfRule>
    <cfRule type="expression" dxfId="440" priority="10471">
      <formula>$C241="%IN"</formula>
    </cfRule>
    <cfRule type="expression" dxfId="439" priority="10472" stopIfTrue="1">
      <formula>$E241=0</formula>
    </cfRule>
  </conditionalFormatting>
  <conditionalFormatting sqref="G3412:G3418">
    <cfRule type="expression" dxfId="438" priority="10473">
      <formula>$D3412&gt;1</formula>
    </cfRule>
    <cfRule type="expression" dxfId="437" priority="10474">
      <formula>$C3412="%IN"</formula>
    </cfRule>
    <cfRule type="expression" dxfId="436" priority="10475" stopIfTrue="1">
      <formula>$E3412=0</formula>
    </cfRule>
  </conditionalFormatting>
  <conditionalFormatting sqref="G1433:G1440">
    <cfRule type="expression" dxfId="435" priority="10476">
      <formula>$D1433&gt;1</formula>
    </cfRule>
    <cfRule type="expression" dxfId="434" priority="10477">
      <formula>$C1433="%IN"</formula>
    </cfRule>
    <cfRule type="expression" dxfId="433" priority="10478" stopIfTrue="1">
      <formula>$E1433=0</formula>
    </cfRule>
  </conditionalFormatting>
  <conditionalFormatting sqref="G1658:G1663">
    <cfRule type="expression" dxfId="432" priority="10479">
      <formula>$D1658&gt;1</formula>
    </cfRule>
    <cfRule type="expression" dxfId="431" priority="10480">
      <formula>$C1658="%IN"</formula>
    </cfRule>
    <cfRule type="expression" dxfId="430" priority="10481" stopIfTrue="1">
      <formula>$E1658=0</formula>
    </cfRule>
  </conditionalFormatting>
  <conditionalFormatting sqref="G1668:G1673">
    <cfRule type="expression" dxfId="429" priority="10482">
      <formula>$D1668&gt;1</formula>
    </cfRule>
    <cfRule type="expression" dxfId="428" priority="10483">
      <formula>$C1668="%IN"</formula>
    </cfRule>
    <cfRule type="expression" dxfId="427" priority="10484" stopIfTrue="1">
      <formula>$E1668=0</formula>
    </cfRule>
  </conditionalFormatting>
  <conditionalFormatting sqref="G3660:G3672">
    <cfRule type="expression" dxfId="426" priority="10485">
      <formula>$D3660&gt;1</formula>
    </cfRule>
    <cfRule type="expression" dxfId="425" priority="10486">
      <formula>$C3660="%IN"</formula>
    </cfRule>
    <cfRule type="expression" dxfId="424" priority="10487" stopIfTrue="1">
      <formula>$E3660=0</formula>
    </cfRule>
  </conditionalFormatting>
  <conditionalFormatting sqref="Q4297">
    <cfRule type="expression" dxfId="423" priority="95" stopIfTrue="1">
      <formula>$Q4297="请输入"</formula>
    </cfRule>
  </conditionalFormatting>
  <conditionalFormatting sqref="I4297">
    <cfRule type="expression" dxfId="422" priority="93" stopIfTrue="1">
      <formula>$I4297="适用"</formula>
    </cfRule>
    <cfRule type="expression" dxfId="421" priority="94" stopIfTrue="1">
      <formula>$I4297="不适用"</formula>
    </cfRule>
  </conditionalFormatting>
  <conditionalFormatting sqref="G4728:G4734">
    <cfRule type="expression" dxfId="420" priority="10488">
      <formula>$D4728&gt;1</formula>
    </cfRule>
    <cfRule type="expression" dxfId="419" priority="10489">
      <formula>$C4728="%IN"</formula>
    </cfRule>
    <cfRule type="expression" dxfId="418" priority="10490" stopIfTrue="1">
      <formula>$E4728=0</formula>
    </cfRule>
  </conditionalFormatting>
  <conditionalFormatting sqref="G4968:G4981">
    <cfRule type="expression" dxfId="417" priority="10491">
      <formula>$D4968&gt;1</formula>
    </cfRule>
    <cfRule type="expression" dxfId="416" priority="10492">
      <formula>$C4968="%IN"</formula>
    </cfRule>
    <cfRule type="expression" dxfId="415" priority="10493" stopIfTrue="1">
      <formula>$E4968=0</formula>
    </cfRule>
  </conditionalFormatting>
  <conditionalFormatting sqref="G5186:G5191">
    <cfRule type="expression" dxfId="414" priority="10494">
      <formula>$D5186&gt;1</formula>
    </cfRule>
    <cfRule type="expression" dxfId="413" priority="10495">
      <formula>$C5186="%IN"</formula>
    </cfRule>
    <cfRule type="expression" dxfId="412" priority="10496" stopIfTrue="1">
      <formula>$E5186=0</formula>
    </cfRule>
  </conditionalFormatting>
  <conditionalFormatting sqref="I5500">
    <cfRule type="expression" dxfId="411" priority="87" stopIfTrue="1">
      <formula>$I5500="适用"</formula>
    </cfRule>
    <cfRule type="expression" dxfId="410" priority="88" stopIfTrue="1">
      <formula>$I5500="不适用"</formula>
    </cfRule>
  </conditionalFormatting>
  <conditionalFormatting sqref="G5459:G5498">
    <cfRule type="expression" dxfId="409" priority="10500">
      <formula>$D5459&gt;1</formula>
    </cfRule>
    <cfRule type="expression" dxfId="408" priority="10501">
      <formula>$C5459="%IN"</formula>
    </cfRule>
    <cfRule type="expression" dxfId="407" priority="10502" stopIfTrue="1">
      <formula>$E5459=0</formula>
    </cfRule>
  </conditionalFormatting>
  <conditionalFormatting sqref="G5505:G5546">
    <cfRule type="expression" dxfId="406" priority="10503">
      <formula>$D5505&gt;1</formula>
    </cfRule>
    <cfRule type="expression" dxfId="405" priority="10504">
      <formula>$C5505="%IN"</formula>
    </cfRule>
    <cfRule type="expression" dxfId="404" priority="10505" stopIfTrue="1">
      <formula>$E5505=0</formula>
    </cfRule>
  </conditionalFormatting>
  <conditionalFormatting sqref="L4736:L4748">
    <cfRule type="expression" dxfId="403" priority="10506" stopIfTrue="1">
      <formula>OR($L$4736="F/S",$L$4736="")</formula>
    </cfRule>
    <cfRule type="cellIs" dxfId="402" priority="10507" stopIfTrue="1" operator="notEqual">
      <formula>0</formula>
    </cfRule>
  </conditionalFormatting>
  <conditionalFormatting sqref="O4736:O4748">
    <cfRule type="expression" dxfId="401" priority="10508" stopIfTrue="1">
      <formula>OR($O$4736="F/S",$O$4736="")</formula>
    </cfRule>
    <cfRule type="cellIs" dxfId="400" priority="10509" stopIfTrue="1" operator="notEqual">
      <formula>0</formula>
    </cfRule>
  </conditionalFormatting>
  <conditionalFormatting sqref="I4736">
    <cfRule type="expression" dxfId="399" priority="80" stopIfTrue="1">
      <formula>$I4736="适用"</formula>
    </cfRule>
    <cfRule type="expression" dxfId="398" priority="81" stopIfTrue="1">
      <formula>$I4736="不适用"</formula>
    </cfRule>
  </conditionalFormatting>
  <conditionalFormatting sqref="Q4736:Q4748">
    <cfRule type="expression" dxfId="397" priority="79" stopIfTrue="1">
      <formula>$Q4736="请输入"</formula>
    </cfRule>
  </conditionalFormatting>
  <conditionalFormatting sqref="G4739:G4747">
    <cfRule type="expression" dxfId="396" priority="10510">
      <formula>$D4739&gt;1</formula>
    </cfRule>
    <cfRule type="expression" dxfId="395" priority="10511">
      <formula>$C4739="%IN"</formula>
    </cfRule>
    <cfRule type="expression" dxfId="394" priority="10512" stopIfTrue="1">
      <formula>$E4739=0</formula>
    </cfRule>
  </conditionalFormatting>
  <conditionalFormatting sqref="G2835:G2845">
    <cfRule type="expression" dxfId="393" priority="10513">
      <formula>$D2835&gt;1</formula>
    </cfRule>
    <cfRule type="expression" dxfId="392" priority="10514">
      <formula>$C2835="%IN"</formula>
    </cfRule>
    <cfRule type="expression" dxfId="391" priority="10515" stopIfTrue="1">
      <formula>$E2835=0</formula>
    </cfRule>
  </conditionalFormatting>
  <conditionalFormatting sqref="H352">
    <cfRule type="expression" dxfId="390" priority="10516">
      <formula>AND(H$352&lt;&gt;0,H$352&lt;&gt;"")</formula>
    </cfRule>
    <cfRule type="expression" dxfId="389" priority="10517" stopIfTrue="1">
      <formula>H$353&lt;&gt;"√"</formula>
    </cfRule>
  </conditionalFormatting>
  <conditionalFormatting sqref="J352">
    <cfRule type="expression" dxfId="388" priority="10518">
      <formula>AND(J$352&lt;&gt;0,J$352&lt;&gt;"")</formula>
    </cfRule>
    <cfRule type="expression" dxfId="387" priority="10519" stopIfTrue="1">
      <formula>J$353&lt;&gt;"√"</formula>
    </cfRule>
  </conditionalFormatting>
  <conditionalFormatting sqref="L352">
    <cfRule type="expression" dxfId="386" priority="10520">
      <formula>AND(L$352&lt;&gt;0,L$352&lt;&gt;"")</formula>
    </cfRule>
    <cfRule type="expression" dxfId="385" priority="10521" stopIfTrue="1">
      <formula>L$353&lt;&gt;"√"</formula>
    </cfRule>
  </conditionalFormatting>
  <conditionalFormatting sqref="K354">
    <cfRule type="expression" dxfId="384" priority="10522">
      <formula>AND($K$354&lt;&gt;0,$K$354&lt;&gt;"")</formula>
    </cfRule>
    <cfRule type="expression" dxfId="383" priority="10523" stopIfTrue="1">
      <formula>$L$354&lt;&gt;"√"</formula>
    </cfRule>
  </conditionalFormatting>
  <conditionalFormatting sqref="H374">
    <cfRule type="expression" dxfId="382" priority="10524">
      <formula>AND(H$374&lt;&gt;0,H$374&lt;&gt;"")</formula>
    </cfRule>
    <cfRule type="expression" dxfId="381" priority="10525" stopIfTrue="1">
      <formula>H$375&lt;&gt;"√"</formula>
    </cfRule>
  </conditionalFormatting>
  <conditionalFormatting sqref="I374">
    <cfRule type="expression" dxfId="380" priority="10526">
      <formula>AND(I$374&lt;&gt;0,I$374&lt;&gt;"")</formula>
    </cfRule>
    <cfRule type="expression" dxfId="379" priority="10527" stopIfTrue="1">
      <formula>I$375&lt;&gt;"√"</formula>
    </cfRule>
  </conditionalFormatting>
  <conditionalFormatting sqref="K376">
    <cfRule type="expression" dxfId="378" priority="10528">
      <formula>AND($K$376&lt;&gt;0,$K$376&lt;&gt;"")</formula>
    </cfRule>
    <cfRule type="expression" dxfId="377" priority="10529" stopIfTrue="1">
      <formula>$L$376&lt;&gt;"√"</formula>
    </cfRule>
  </conditionalFormatting>
  <conditionalFormatting sqref="H396">
    <cfRule type="expression" dxfId="376" priority="10530">
      <formula>AND(H$396&lt;&gt;0,H$396&lt;&gt;"")</formula>
    </cfRule>
    <cfRule type="expression" dxfId="375" priority="10531" stopIfTrue="1">
      <formula>H$397&lt;&gt;"√"</formula>
    </cfRule>
  </conditionalFormatting>
  <conditionalFormatting sqref="I396">
    <cfRule type="expression" dxfId="374" priority="10532">
      <formula>AND(I$396&lt;&gt;0,I$396&lt;&gt;"")</formula>
    </cfRule>
    <cfRule type="expression" dxfId="373" priority="10533" stopIfTrue="1">
      <formula>I$397&lt;&gt;"√"</formula>
    </cfRule>
  </conditionalFormatting>
  <conditionalFormatting sqref="K398">
    <cfRule type="expression" dxfId="372" priority="10534">
      <formula>AND($K$398&lt;&gt;0,$K$398&lt;&gt;"")</formula>
    </cfRule>
    <cfRule type="expression" dxfId="371" priority="10535" stopIfTrue="1">
      <formula>$L$398&lt;&gt;"√"</formula>
    </cfRule>
  </conditionalFormatting>
  <conditionalFormatting sqref="H444">
    <cfRule type="expression" dxfId="370" priority="10536">
      <formula>AND(H$444&lt;&gt;0,H$444&lt;&gt;"")</formula>
    </cfRule>
    <cfRule type="expression" dxfId="369" priority="10537" stopIfTrue="1">
      <formula>H$445&lt;&gt;"√"</formula>
    </cfRule>
  </conditionalFormatting>
  <conditionalFormatting sqref="J444">
    <cfRule type="expression" dxfId="368" priority="10538">
      <formula>AND(J$444&lt;&gt;0,J$444&lt;&gt;"")</formula>
    </cfRule>
    <cfRule type="expression" dxfId="367" priority="10539" stopIfTrue="1">
      <formula>J$445&lt;&gt;"√"</formula>
    </cfRule>
  </conditionalFormatting>
  <conditionalFormatting sqref="L444">
    <cfRule type="expression" dxfId="366" priority="10540">
      <formula>AND(L$444&lt;&gt;0,L$444&lt;&gt;"")</formula>
    </cfRule>
    <cfRule type="expression" dxfId="365" priority="10541" stopIfTrue="1">
      <formula>L$445&lt;&gt;"√"</formula>
    </cfRule>
  </conditionalFormatting>
  <conditionalFormatting sqref="K446">
    <cfRule type="expression" dxfId="364" priority="10542">
      <formula>AND($K$446&lt;&gt;0,$K$446&lt;&gt;"")</formula>
    </cfRule>
    <cfRule type="expression" dxfId="363" priority="10543" stopIfTrue="1">
      <formula>$L$446&lt;&gt;"√"</formula>
    </cfRule>
  </conditionalFormatting>
  <conditionalFormatting sqref="H597">
    <cfRule type="expression" dxfId="362" priority="10544">
      <formula>AND(H$597&lt;&gt;0,H$597&lt;&gt;"")</formula>
    </cfRule>
    <cfRule type="expression" dxfId="361" priority="10545" stopIfTrue="1">
      <formula>H$598&lt;&gt;"√"</formula>
    </cfRule>
  </conditionalFormatting>
  <conditionalFormatting sqref="N597">
    <cfRule type="expression" dxfId="360" priority="10546">
      <formula>AND(N$597&lt;&gt;0,N$597&lt;&gt;"")</formula>
    </cfRule>
    <cfRule type="expression" dxfId="359" priority="10547" stopIfTrue="1">
      <formula>N$598&lt;&gt;"√"</formula>
    </cfRule>
  </conditionalFormatting>
  <conditionalFormatting sqref="K599">
    <cfRule type="expression" dxfId="358" priority="10548">
      <formula>AND($K$599&lt;&gt;0,$K$599&lt;&gt;"")</formula>
    </cfRule>
    <cfRule type="expression" dxfId="357" priority="10549" stopIfTrue="1">
      <formula>$L$599&lt;&gt;"√"</formula>
    </cfRule>
  </conditionalFormatting>
  <conditionalFormatting sqref="H464">
    <cfRule type="expression" dxfId="356" priority="10550">
      <formula>AND(H$464&lt;&gt;0,H$464&lt;&gt;"")</formula>
    </cfRule>
    <cfRule type="expression" dxfId="355" priority="10551" stopIfTrue="1">
      <formula>H$465&lt;&gt;"√"</formula>
    </cfRule>
  </conditionalFormatting>
  <conditionalFormatting sqref="I464">
    <cfRule type="expression" dxfId="354" priority="10552">
      <formula>AND(I$464&lt;&gt;0,I$464&lt;&gt;"")</formula>
    </cfRule>
    <cfRule type="expression" dxfId="353" priority="10553" stopIfTrue="1">
      <formula>I$465&lt;&gt;"√"</formula>
    </cfRule>
  </conditionalFormatting>
  <conditionalFormatting sqref="K466">
    <cfRule type="expression" dxfId="352" priority="10554">
      <formula>AND($K$466&lt;&gt;0,$K$466&lt;&gt;"")</formula>
    </cfRule>
    <cfRule type="expression" dxfId="351" priority="10555" stopIfTrue="1">
      <formula>$L$466&lt;&gt;"√"</formula>
    </cfRule>
  </conditionalFormatting>
  <conditionalFormatting sqref="H531">
    <cfRule type="expression" dxfId="350" priority="10556">
      <formula>AND(H$531&lt;&gt;0,H$531&lt;&gt;"")</formula>
    </cfRule>
    <cfRule type="expression" dxfId="349" priority="10557" stopIfTrue="1">
      <formula>H$532&lt;&gt;"√"</formula>
    </cfRule>
  </conditionalFormatting>
  <conditionalFormatting sqref="I531">
    <cfRule type="expression" dxfId="348" priority="10558">
      <formula>AND(I$531&lt;&gt;0,I$531&lt;&gt;"")</formula>
    </cfRule>
    <cfRule type="expression" dxfId="347" priority="10559" stopIfTrue="1">
      <formula>I$532&lt;&gt;"√"</formula>
    </cfRule>
  </conditionalFormatting>
  <conditionalFormatting sqref="K533">
    <cfRule type="expression" dxfId="346" priority="10560">
      <formula>AND($K$533&lt;&gt;0,$K$533&lt;&gt;"")</formula>
    </cfRule>
    <cfRule type="expression" dxfId="345" priority="10561" stopIfTrue="1">
      <formula>$L$533&lt;&gt;"√"</formula>
    </cfRule>
  </conditionalFormatting>
  <conditionalFormatting sqref="H555">
    <cfRule type="expression" dxfId="344" priority="10562">
      <formula>AND(H$555&lt;&gt;0,H$555&lt;&gt;"")</formula>
    </cfRule>
    <cfRule type="expression" dxfId="343" priority="10563" stopIfTrue="1">
      <formula>H$556&lt;&gt;"√"</formula>
    </cfRule>
  </conditionalFormatting>
  <conditionalFormatting sqref="I555">
    <cfRule type="expression" dxfId="342" priority="10564">
      <formula>AND(I$555&lt;&gt;0,I$555&lt;&gt;"")</formula>
    </cfRule>
    <cfRule type="expression" dxfId="341" priority="10565" stopIfTrue="1">
      <formula>I$556&lt;&gt;"√"</formula>
    </cfRule>
  </conditionalFormatting>
  <conditionalFormatting sqref="K557">
    <cfRule type="expression" dxfId="340" priority="10566">
      <formula>AND($K$557&lt;&gt;0,$K$557&lt;&gt;"")</formula>
    </cfRule>
    <cfRule type="expression" dxfId="339" priority="10567" stopIfTrue="1">
      <formula>$L$557&lt;&gt;"√"</formula>
    </cfRule>
  </conditionalFormatting>
  <conditionalFormatting sqref="H1039">
    <cfRule type="expression" dxfId="338" priority="10585">
      <formula>AND(H$1039&lt;&gt;0,H$1039&lt;&gt;"")</formula>
    </cfRule>
    <cfRule type="expression" dxfId="337" priority="10586" stopIfTrue="1">
      <formula>H$1040&lt;&gt;"√"</formula>
    </cfRule>
  </conditionalFormatting>
  <conditionalFormatting sqref="I1039">
    <cfRule type="expression" dxfId="336" priority="10587">
      <formula>AND(I$1039&lt;&gt;0,I$1039&lt;&gt;"")</formula>
    </cfRule>
    <cfRule type="expression" dxfId="335" priority="10588" stopIfTrue="1">
      <formula>I$1040&lt;&gt;"√"</formula>
    </cfRule>
  </conditionalFormatting>
  <conditionalFormatting sqref="J1039">
    <cfRule type="expression" dxfId="334" priority="10589">
      <formula>AND(J$1039&lt;&gt;0,J$1039&lt;&gt;"")</formula>
    </cfRule>
    <cfRule type="expression" dxfId="333" priority="10590" stopIfTrue="1">
      <formula>J$1040&lt;&gt;"√"</formula>
    </cfRule>
  </conditionalFormatting>
  <conditionalFormatting sqref="K1041">
    <cfRule type="expression" dxfId="332" priority="10591">
      <formula>AND($K$1041&lt;&gt;0,$K$1041&lt;&gt;"")</formula>
    </cfRule>
    <cfRule type="expression" dxfId="331" priority="10592" stopIfTrue="1">
      <formula>$L$1041&lt;&gt;"√"</formula>
    </cfRule>
  </conditionalFormatting>
  <conditionalFormatting sqref="H1322">
    <cfRule type="expression" dxfId="330" priority="10593">
      <formula>AND(H$1322&lt;&gt;0,H$1322&lt;&gt;"")</formula>
    </cfRule>
    <cfRule type="expression" dxfId="329" priority="10594" stopIfTrue="1">
      <formula>H$1323&lt;&gt;"√"</formula>
    </cfRule>
  </conditionalFormatting>
  <conditionalFormatting sqref="J1322">
    <cfRule type="expression" dxfId="328" priority="10595">
      <formula>AND(J$1322&lt;&gt;0,J$1322&lt;&gt;"")</formula>
    </cfRule>
    <cfRule type="expression" dxfId="327" priority="10596" stopIfTrue="1">
      <formula>J$1323&lt;&gt;"√"</formula>
    </cfRule>
  </conditionalFormatting>
  <conditionalFormatting sqref="L1322">
    <cfRule type="expression" dxfId="326" priority="10597">
      <formula>AND(L$1322&lt;&gt;0,L$1322&lt;&gt;"")</formula>
    </cfRule>
    <cfRule type="expression" dxfId="325" priority="10598" stopIfTrue="1">
      <formula>L$1323&lt;&gt;"√"</formula>
    </cfRule>
  </conditionalFormatting>
  <conditionalFormatting sqref="K1324">
    <cfRule type="expression" dxfId="324" priority="10599">
      <formula>AND($K$1324&lt;&gt;0,$K$1324&lt;&gt;"")</formula>
    </cfRule>
    <cfRule type="expression" dxfId="323" priority="10600" stopIfTrue="1">
      <formula>$L$1324&lt;&gt;"√"</formula>
    </cfRule>
  </conditionalFormatting>
  <conditionalFormatting sqref="H1487">
    <cfRule type="expression" dxfId="322" priority="10601">
      <formula>AND(H$1487&lt;&gt;0,H$1487&lt;&gt;"")</formula>
    </cfRule>
    <cfRule type="expression" dxfId="321" priority="10602" stopIfTrue="1">
      <formula>H$1488&lt;&gt;"√"</formula>
    </cfRule>
  </conditionalFormatting>
  <conditionalFormatting sqref="N1487">
    <cfRule type="expression" dxfId="320" priority="10603">
      <formula>AND(N$1487&lt;&gt;0,N$1487&lt;&gt;"")</formula>
    </cfRule>
    <cfRule type="expression" dxfId="319" priority="10604" stopIfTrue="1">
      <formula>N$1488&lt;&gt;"√"</formula>
    </cfRule>
  </conditionalFormatting>
  <conditionalFormatting sqref="K1489">
    <cfRule type="expression" dxfId="318" priority="10605">
      <formula>AND($K$1489&lt;&gt;0,$K$1489&lt;&gt;"")</formula>
    </cfRule>
    <cfRule type="expression" dxfId="317" priority="10606" stopIfTrue="1">
      <formula>$L$1489&lt;&gt;"√"</formula>
    </cfRule>
  </conditionalFormatting>
  <conditionalFormatting sqref="H1075">
    <cfRule type="expression" dxfId="316" priority="10608">
      <formula>AND(H$1075&lt;&gt;0,H$1075&lt;&gt;"")</formula>
    </cfRule>
    <cfRule type="expression" dxfId="315" priority="10609" stopIfTrue="1">
      <formula>H$1076&lt;&gt;"√"</formula>
    </cfRule>
  </conditionalFormatting>
  <conditionalFormatting sqref="I1075">
    <cfRule type="expression" dxfId="314" priority="10610">
      <formula>AND(I$1075&lt;&gt;0,I$1075&lt;&gt;"")</formula>
    </cfRule>
    <cfRule type="expression" dxfId="313" priority="10611" stopIfTrue="1">
      <formula>I$1076&lt;&gt;"√"</formula>
    </cfRule>
  </conditionalFormatting>
  <conditionalFormatting sqref="K1077">
    <cfRule type="expression" dxfId="312" priority="10612">
      <formula>AND($K$1077&lt;&gt;0,$K$1077&lt;&gt;"")</formula>
    </cfRule>
    <cfRule type="expression" dxfId="311" priority="10613" stopIfTrue="1">
      <formula>$L$1077&lt;&gt;"√"</formula>
    </cfRule>
  </conditionalFormatting>
  <conditionalFormatting sqref="H1097">
    <cfRule type="expression" dxfId="310" priority="10614">
      <formula>AND(H$1097&lt;&gt;0,H$1097&lt;&gt;"")</formula>
    </cfRule>
    <cfRule type="expression" dxfId="309" priority="10615" stopIfTrue="1">
      <formula>H$1098&lt;&gt;"√"</formula>
    </cfRule>
  </conditionalFormatting>
  <conditionalFormatting sqref="I1097">
    <cfRule type="expression" dxfId="308" priority="10616">
      <formula>AND(I$1097&lt;&gt;0,I$1097&lt;&gt;"")</formula>
    </cfRule>
    <cfRule type="expression" dxfId="307" priority="10617" stopIfTrue="1">
      <formula>I$1098&lt;&gt;"√"</formula>
    </cfRule>
  </conditionalFormatting>
  <conditionalFormatting sqref="K1099">
    <cfRule type="expression" dxfId="306" priority="10618">
      <formula>AND($K$1099&lt;&gt;0,$K$1099&lt;&gt;"")</formula>
    </cfRule>
    <cfRule type="expression" dxfId="305" priority="10619" stopIfTrue="1">
      <formula>$L$1099&lt;&gt;"√"</formula>
    </cfRule>
  </conditionalFormatting>
  <conditionalFormatting sqref="H1163">
    <cfRule type="expression" dxfId="304" priority="10620">
      <formula>AND(H$1163&lt;&gt;0,H$1163&lt;&gt;"")</formula>
    </cfRule>
    <cfRule type="expression" dxfId="303" priority="10621" stopIfTrue="1">
      <formula>H$1164&lt;&gt;"√"</formula>
    </cfRule>
  </conditionalFormatting>
  <conditionalFormatting sqref="I1163">
    <cfRule type="expression" dxfId="302" priority="10622">
      <formula>AND(I$1163&lt;&gt;0,I$1163&lt;&gt;"")</formula>
    </cfRule>
    <cfRule type="expression" dxfId="301" priority="10623" stopIfTrue="1">
      <formula>I$1164&lt;&gt;"√"</formula>
    </cfRule>
  </conditionalFormatting>
  <conditionalFormatting sqref="K1165">
    <cfRule type="expression" dxfId="300" priority="10624">
      <formula>AND($K$1165&lt;&gt;0,$K$1165&lt;&gt;"")</formula>
    </cfRule>
    <cfRule type="expression" dxfId="299" priority="10625" stopIfTrue="1">
      <formula>$L$1165&lt;&gt;"√"</formula>
    </cfRule>
  </conditionalFormatting>
  <conditionalFormatting sqref="H1185">
    <cfRule type="expression" dxfId="298" priority="10626">
      <formula>AND(H$1185&lt;&gt;0,H$1185&lt;&gt;"")</formula>
    </cfRule>
    <cfRule type="expression" dxfId="297" priority="10627" stopIfTrue="1">
      <formula>H$1186&lt;&gt;"√"</formula>
    </cfRule>
  </conditionalFormatting>
  <conditionalFormatting sqref="I1185">
    <cfRule type="expression" dxfId="296" priority="10628">
      <formula>AND(I$1185&lt;&gt;0,I$1185&lt;&gt;"")</formula>
    </cfRule>
    <cfRule type="expression" dxfId="295" priority="10629" stopIfTrue="1">
      <formula>I$1186&lt;&gt;"√"</formula>
    </cfRule>
  </conditionalFormatting>
  <conditionalFormatting sqref="K1187">
    <cfRule type="expression" dxfId="294" priority="10630">
      <formula>AND($K$1187&lt;&gt;0,$K$1187&lt;&gt;"")</formula>
    </cfRule>
    <cfRule type="expression" dxfId="293" priority="10631" stopIfTrue="1">
      <formula>$L$1187&lt;&gt;"√"</formula>
    </cfRule>
  </conditionalFormatting>
  <conditionalFormatting sqref="H1251">
    <cfRule type="expression" dxfId="292" priority="10632">
      <formula>AND(H$1251&lt;&gt;0,H$1251&lt;&gt;"")</formula>
    </cfRule>
    <cfRule type="expression" dxfId="291" priority="10633" stopIfTrue="1">
      <formula>H$1252&lt;&gt;"√"</formula>
    </cfRule>
  </conditionalFormatting>
  <conditionalFormatting sqref="I1251">
    <cfRule type="expression" dxfId="290" priority="10634">
      <formula>AND(I$1251&lt;&gt;0,I$1251&lt;&gt;"")</formula>
    </cfRule>
    <cfRule type="expression" dxfId="289" priority="10635" stopIfTrue="1">
      <formula>I$1252&lt;&gt;"√"</formula>
    </cfRule>
  </conditionalFormatting>
  <conditionalFormatting sqref="K1253">
    <cfRule type="expression" dxfId="288" priority="10636">
      <formula>AND($K$1253&lt;&gt;0,$K$1253&lt;&gt;"")</formula>
    </cfRule>
    <cfRule type="expression" dxfId="287" priority="10637" stopIfTrue="1">
      <formula>$L$1253&lt;&gt;"√"</formula>
    </cfRule>
  </conditionalFormatting>
  <conditionalFormatting sqref="H1273">
    <cfRule type="expression" dxfId="286" priority="10638">
      <formula>AND(H$1273&lt;&gt;0,H$1273&lt;&gt;"")</formula>
    </cfRule>
    <cfRule type="expression" dxfId="285" priority="10639" stopIfTrue="1">
      <formula>H$1274&lt;&gt;"√"</formula>
    </cfRule>
  </conditionalFormatting>
  <conditionalFormatting sqref="I1273">
    <cfRule type="expression" dxfId="284" priority="10640">
      <formula>AND(I$1273&lt;&gt;0,I$1273&lt;&gt;"")</formula>
    </cfRule>
    <cfRule type="expression" dxfId="283" priority="10641" stopIfTrue="1">
      <formula>I$1274&lt;&gt;"√"</formula>
    </cfRule>
  </conditionalFormatting>
  <conditionalFormatting sqref="K1275">
    <cfRule type="expression" dxfId="282" priority="10642">
      <formula>AND($K$1275&lt;&gt;0,$K$1275&lt;&gt;"")</formula>
    </cfRule>
    <cfRule type="expression" dxfId="281" priority="10643" stopIfTrue="1">
      <formula>$L$1275&lt;&gt;"√"</formula>
    </cfRule>
  </conditionalFormatting>
  <conditionalFormatting sqref="H1344">
    <cfRule type="expression" dxfId="280" priority="10644">
      <formula>AND(H$1344&lt;&gt;0,H$1344&lt;&gt;"")</formula>
    </cfRule>
    <cfRule type="expression" dxfId="279" priority="10645" stopIfTrue="1">
      <formula>H$1345&lt;&gt;"√"</formula>
    </cfRule>
  </conditionalFormatting>
  <conditionalFormatting sqref="I1344">
    <cfRule type="expression" dxfId="278" priority="10646">
      <formula>AND(I$1344&lt;&gt;0,I$1344&lt;&gt;"")</formula>
    </cfRule>
    <cfRule type="expression" dxfId="277" priority="10647" stopIfTrue="1">
      <formula>I$1345&lt;&gt;"√"</formula>
    </cfRule>
  </conditionalFormatting>
  <conditionalFormatting sqref="K1346">
    <cfRule type="expression" dxfId="276" priority="10648">
      <formula>AND($K$1346&lt;&gt;0,$K$1346&lt;&gt;"")</formula>
    </cfRule>
    <cfRule type="expression" dxfId="275" priority="10649" stopIfTrue="1">
      <formula>$L$1346&lt;&gt;"√"</formula>
    </cfRule>
  </conditionalFormatting>
  <conditionalFormatting sqref="H1383">
    <cfRule type="expression" dxfId="274" priority="10650">
      <formula>AND(H$1383&lt;&gt;0,H$1383&lt;&gt;"")</formula>
    </cfRule>
    <cfRule type="expression" dxfId="273" priority="10651" stopIfTrue="1">
      <formula>H$1384&lt;&gt;"√"</formula>
    </cfRule>
  </conditionalFormatting>
  <conditionalFormatting sqref="J1383">
    <cfRule type="expression" dxfId="272" priority="10652">
      <formula>AND(J$1383&lt;&gt;0,J$1383&lt;&gt;"")</formula>
    </cfRule>
    <cfRule type="expression" dxfId="271" priority="10653" stopIfTrue="1">
      <formula>J$1384&lt;&gt;"√"</formula>
    </cfRule>
  </conditionalFormatting>
  <conditionalFormatting sqref="L1383">
    <cfRule type="expression" dxfId="270" priority="10654">
      <formula>AND(L$1383&lt;&gt;0,L$1383&lt;&gt;"")</formula>
    </cfRule>
    <cfRule type="expression" dxfId="269" priority="10655" stopIfTrue="1">
      <formula>L$1384&lt;&gt;"√"</formula>
    </cfRule>
  </conditionalFormatting>
  <conditionalFormatting sqref="K1385">
    <cfRule type="expression" dxfId="268" priority="10656">
      <formula>AND($K$1385&lt;&gt;0,$K$1385&lt;&gt;"")</formula>
    </cfRule>
    <cfRule type="expression" dxfId="267" priority="10657" stopIfTrue="1">
      <formula>$L$1385&lt;&gt;"√"</formula>
    </cfRule>
  </conditionalFormatting>
  <conditionalFormatting sqref="H1405">
    <cfRule type="expression" dxfId="266" priority="10658">
      <formula>AND(H$1405&lt;&gt;0,H$1405&lt;&gt;"")</formula>
    </cfRule>
    <cfRule type="expression" dxfId="265" priority="10659" stopIfTrue="1">
      <formula>H$1406&lt;&gt;"√"</formula>
    </cfRule>
  </conditionalFormatting>
  <conditionalFormatting sqref="J1405">
    <cfRule type="expression" dxfId="264" priority="10660">
      <formula>AND(J$1405&lt;&gt;0,J$1405&lt;&gt;"")</formula>
    </cfRule>
    <cfRule type="expression" dxfId="263" priority="10661" stopIfTrue="1">
      <formula>J$1406&lt;&gt;"√"</formula>
    </cfRule>
  </conditionalFormatting>
  <conditionalFormatting sqref="L1405">
    <cfRule type="expression" dxfId="262" priority="10662">
      <formula>AND(L$1405&lt;&gt;0,L$1405&lt;&gt;"")</formula>
    </cfRule>
    <cfRule type="expression" dxfId="261" priority="10663" stopIfTrue="1">
      <formula>L$1406&lt;&gt;"√"</formula>
    </cfRule>
  </conditionalFormatting>
  <conditionalFormatting sqref="K1407">
    <cfRule type="expression" dxfId="260" priority="10664">
      <formula>AND($K$1407&lt;&gt;0,$K$1407&lt;&gt;"")</formula>
    </cfRule>
    <cfRule type="expression" dxfId="259" priority="10665" stopIfTrue="1">
      <formula>$L$1407&lt;&gt;"√"</formula>
    </cfRule>
  </conditionalFormatting>
  <conditionalFormatting sqref="H1424">
    <cfRule type="expression" dxfId="258" priority="10666">
      <formula>AND(H$1424&lt;&gt;0,H$1424&lt;&gt;"")</formula>
    </cfRule>
    <cfRule type="expression" dxfId="257" priority="10667" stopIfTrue="1">
      <formula>H$1425&lt;&gt;"√"</formula>
    </cfRule>
  </conditionalFormatting>
  <conditionalFormatting sqref="I1424">
    <cfRule type="expression" dxfId="256" priority="10668">
      <formula>AND(I$1424&lt;&gt;0,I$1424&lt;&gt;"")</formula>
    </cfRule>
    <cfRule type="expression" dxfId="255" priority="10669" stopIfTrue="1">
      <formula>I$1425&lt;&gt;"√"</formula>
    </cfRule>
  </conditionalFormatting>
  <conditionalFormatting sqref="K1426">
    <cfRule type="expression" dxfId="254" priority="10670">
      <formula>AND($K$1426&lt;&gt;0,$K$1426&lt;&gt;"")</formula>
    </cfRule>
    <cfRule type="expression" dxfId="253" priority="10671" stopIfTrue="1">
      <formula>$L$1426&lt;&gt;"√"</formula>
    </cfRule>
  </conditionalFormatting>
  <conditionalFormatting sqref="H1445">
    <cfRule type="expression" dxfId="252" priority="10672">
      <formula>AND(H$1445&lt;&gt;0,H$1445&lt;&gt;"")</formula>
    </cfRule>
    <cfRule type="expression" dxfId="251" priority="10673" stopIfTrue="1">
      <formula>H$1446&lt;&gt;"√"</formula>
    </cfRule>
  </conditionalFormatting>
  <conditionalFormatting sqref="J1445">
    <cfRule type="expression" dxfId="250" priority="10674">
      <formula>AND(J$1445&lt;&gt;0,J$1445&lt;&gt;"")</formula>
    </cfRule>
    <cfRule type="expression" dxfId="249" priority="10675" stopIfTrue="1">
      <formula>J$1446&lt;&gt;"√"</formula>
    </cfRule>
  </conditionalFormatting>
  <conditionalFormatting sqref="K1447">
    <cfRule type="expression" dxfId="248" priority="10676">
      <formula>AND($K$1447&lt;&gt;0,$K$1447&lt;&gt;"")</formula>
    </cfRule>
    <cfRule type="expression" dxfId="247" priority="10677" stopIfTrue="1">
      <formula>$L$1447&lt;&gt;"√"</formula>
    </cfRule>
  </conditionalFormatting>
  <conditionalFormatting sqref="H1009">
    <cfRule type="expression" dxfId="246" priority="10678">
      <formula>AND(H$1009&lt;&gt;0,H$1009&lt;&gt;"")</formula>
    </cfRule>
    <cfRule type="expression" dxfId="245" priority="10679" stopIfTrue="1">
      <formula>H$1010&lt;&gt;"√"</formula>
    </cfRule>
  </conditionalFormatting>
  <conditionalFormatting sqref="I1009">
    <cfRule type="expression" dxfId="244" priority="10680">
      <formula>AND(I$1009&lt;&gt;0,I$1009&lt;&gt;"")</formula>
    </cfRule>
    <cfRule type="expression" dxfId="243" priority="10681" stopIfTrue="1">
      <formula>I$1010&lt;&gt;"√"</formula>
    </cfRule>
  </conditionalFormatting>
  <conditionalFormatting sqref="K1011">
    <cfRule type="expression" dxfId="242" priority="10682">
      <formula>AND($K$1011&lt;&gt;0,$K$1011&lt;&gt;"")</formula>
    </cfRule>
    <cfRule type="expression" dxfId="241" priority="10683" stopIfTrue="1">
      <formula>$L$1011&lt;&gt;"√"</formula>
    </cfRule>
  </conditionalFormatting>
  <conditionalFormatting sqref="H1678">
    <cfRule type="expression" dxfId="240" priority="10684">
      <formula>AND(H$1678&lt;&gt;0,H$1678&lt;&gt;"")</formula>
    </cfRule>
    <cfRule type="expression" dxfId="239" priority="10685" stopIfTrue="1">
      <formula>H$1679&lt;&gt;"√"</formula>
    </cfRule>
  </conditionalFormatting>
  <conditionalFormatting sqref="K1680">
    <cfRule type="expression" dxfId="238" priority="10686">
      <formula>AND($K$1680&lt;&gt;0,$K$1680&lt;&gt;"")</formula>
    </cfRule>
    <cfRule type="expression" dxfId="237" priority="10687" stopIfTrue="1">
      <formula>$L$1680&lt;&gt;"√"</formula>
    </cfRule>
  </conditionalFormatting>
  <conditionalFormatting sqref="K1695">
    <cfRule type="expression" dxfId="236" priority="10688">
      <formula>AND(K$1695&lt;&gt;0,K$1695&lt;&gt;"")</formula>
    </cfRule>
    <cfRule type="expression" dxfId="235" priority="10689" stopIfTrue="1">
      <formula>K$1696&lt;&gt;"√"</formula>
    </cfRule>
  </conditionalFormatting>
  <conditionalFormatting sqref="L1695">
    <cfRule type="expression" dxfId="234" priority="10690">
      <formula>AND(L$1695&lt;&gt;0,L$1695&lt;&gt;"")</formula>
    </cfRule>
    <cfRule type="expression" dxfId="233" priority="10691" stopIfTrue="1">
      <formula>L$1696&lt;&gt;"√"</formula>
    </cfRule>
  </conditionalFormatting>
  <conditionalFormatting sqref="M1695">
    <cfRule type="expression" dxfId="232" priority="10692">
      <formula>AND(M$1695&lt;&gt;0,M$1695&lt;&gt;"")</formula>
    </cfRule>
    <cfRule type="expression" dxfId="231" priority="10693" stopIfTrue="1">
      <formula>M$1696&lt;&gt;"√"</formula>
    </cfRule>
  </conditionalFormatting>
  <conditionalFormatting sqref="K1697">
    <cfRule type="expression" dxfId="230" priority="10694">
      <formula>AND($K$1697&lt;&gt;0,$K$1697&lt;&gt;"")</formula>
    </cfRule>
    <cfRule type="expression" dxfId="229" priority="10695" stopIfTrue="1">
      <formula>$L$1697&lt;&gt;"√"</formula>
    </cfRule>
  </conditionalFormatting>
  <conditionalFormatting sqref="I1712">
    <cfRule type="expression" dxfId="228" priority="10696">
      <formula>AND(I$1712&lt;&gt;0,I$1712&lt;&gt;"")</formula>
    </cfRule>
    <cfRule type="expression" dxfId="227" priority="10697" stopIfTrue="1">
      <formula>I$1713&lt;&gt;"√"</formula>
    </cfRule>
  </conditionalFormatting>
  <conditionalFormatting sqref="L1712">
    <cfRule type="expression" dxfId="226" priority="10698">
      <formula>AND(L$1712&lt;&gt;0,L$1712&lt;&gt;"")</formula>
    </cfRule>
    <cfRule type="expression" dxfId="225" priority="10699" stopIfTrue="1">
      <formula>L$1713&lt;&gt;"√"</formula>
    </cfRule>
  </conditionalFormatting>
  <conditionalFormatting sqref="M1712">
    <cfRule type="expression" dxfId="224" priority="10700">
      <formula>AND(M$1712&lt;&gt;0,M$1712&lt;&gt;"")</formula>
    </cfRule>
    <cfRule type="expression" dxfId="223" priority="10701" stopIfTrue="1">
      <formula>M$1713&lt;&gt;"√"</formula>
    </cfRule>
  </conditionalFormatting>
  <conditionalFormatting sqref="K1714">
    <cfRule type="expression" dxfId="222" priority="10702">
      <formula>AND($K$1714&lt;&gt;0,$K$1714&lt;&gt;"")</formula>
    </cfRule>
    <cfRule type="expression" dxfId="221" priority="10703" stopIfTrue="1">
      <formula>$L$1714&lt;&gt;"√"</formula>
    </cfRule>
  </conditionalFormatting>
  <conditionalFormatting sqref="H1865">
    <cfRule type="expression" dxfId="220" priority="10704">
      <formula>AND(H$1865&lt;&gt;0,H$1865&lt;&gt;"")</formula>
    </cfRule>
    <cfRule type="expression" dxfId="219" priority="10705" stopIfTrue="1">
      <formula>H$1866&lt;&gt;"√"</formula>
    </cfRule>
  </conditionalFormatting>
  <conditionalFormatting sqref="I1865">
    <cfRule type="expression" dxfId="218" priority="10706">
      <formula>AND(I$1865&lt;&gt;0,I$1865&lt;&gt;"")</formula>
    </cfRule>
    <cfRule type="expression" dxfId="217" priority="10707" stopIfTrue="1">
      <formula>I$1866&lt;&gt;"√"</formula>
    </cfRule>
  </conditionalFormatting>
  <conditionalFormatting sqref="J1865">
    <cfRule type="expression" dxfId="216" priority="10708">
      <formula>AND(J$1865&lt;&gt;0,J$1865&lt;&gt;"")</formula>
    </cfRule>
    <cfRule type="expression" dxfId="215" priority="10709" stopIfTrue="1">
      <formula>J$1866&lt;&gt;"√"</formula>
    </cfRule>
  </conditionalFormatting>
  <conditionalFormatting sqref="K1867">
    <cfRule type="expression" dxfId="214" priority="10710">
      <formula>AND($K$1867&lt;&gt;0,$K$1867&lt;&gt;"")</formula>
    </cfRule>
    <cfRule type="expression" dxfId="213" priority="10711" stopIfTrue="1">
      <formula>$L$1867&lt;&gt;"√"</formula>
    </cfRule>
  </conditionalFormatting>
  <conditionalFormatting sqref="H1923">
    <cfRule type="expression" dxfId="212" priority="10712">
      <formula>AND(H$1923&lt;&gt;0,H$1923&lt;&gt;"")</formula>
    </cfRule>
    <cfRule type="expression" dxfId="211" priority="10713" stopIfTrue="1">
      <formula>H$1924&lt;&gt;"√"</formula>
    </cfRule>
  </conditionalFormatting>
  <conditionalFormatting sqref="N1923">
    <cfRule type="expression" dxfId="210" priority="10714">
      <formula>AND(N$1923&lt;&gt;0,N$1923&lt;&gt;"")</formula>
    </cfRule>
    <cfRule type="expression" dxfId="209" priority="10715" stopIfTrue="1">
      <formula>N$1924&lt;&gt;"√"</formula>
    </cfRule>
  </conditionalFormatting>
  <conditionalFormatting sqref="K1925">
    <cfRule type="expression" dxfId="208" priority="10716">
      <formula>AND($K$1925&lt;&gt;0,$K$1925&lt;&gt;"")</formula>
    </cfRule>
    <cfRule type="expression" dxfId="207" priority="10717" stopIfTrue="1">
      <formula>$L$1925&lt;&gt;"√"</formula>
    </cfRule>
  </conditionalFormatting>
  <conditionalFormatting sqref="H2230">
    <cfRule type="expression" dxfId="206" priority="10719">
      <formula>AND(H$2230&lt;&gt;0,H$2230&lt;&gt;"")</formula>
    </cfRule>
    <cfRule type="expression" dxfId="205" priority="10720" stopIfTrue="1">
      <formula>H$2231&lt;&gt;"√"</formula>
    </cfRule>
  </conditionalFormatting>
  <conditionalFormatting sqref="I2230">
    <cfRule type="expression" dxfId="204" priority="10721">
      <formula>AND(I$2230&lt;&gt;0,I$2230&lt;&gt;"")</formula>
    </cfRule>
    <cfRule type="expression" dxfId="203" priority="10722" stopIfTrue="1">
      <formula>I$2231&lt;&gt;"√"</formula>
    </cfRule>
  </conditionalFormatting>
  <conditionalFormatting sqref="J2230">
    <cfRule type="expression" dxfId="202" priority="10723">
      <formula>AND(J$2230&lt;&gt;0,J$2230&lt;&gt;"")</formula>
    </cfRule>
    <cfRule type="expression" dxfId="201" priority="10724" stopIfTrue="1">
      <formula>J$2231&lt;&gt;"√"</formula>
    </cfRule>
  </conditionalFormatting>
  <conditionalFormatting sqref="K2232">
    <cfRule type="expression" dxfId="200" priority="10725">
      <formula>AND($K$2232&lt;&gt;0,$K$2232&lt;&gt;"")</formula>
    </cfRule>
    <cfRule type="expression" dxfId="199" priority="10726" stopIfTrue="1">
      <formula>$L$2232&lt;&gt;"√"</formula>
    </cfRule>
  </conditionalFormatting>
  <conditionalFormatting sqref="H2289">
    <cfRule type="expression" dxfId="198" priority="10728">
      <formula>AND(H$2289&lt;&gt;0,H$2289&lt;&gt;"")</formula>
    </cfRule>
    <cfRule type="expression" dxfId="197" priority="10729" stopIfTrue="1">
      <formula>H$2290&lt;&gt;"√"</formula>
    </cfRule>
  </conditionalFormatting>
  <conditionalFormatting sqref="J2289">
    <cfRule type="expression" dxfId="196" priority="10730">
      <formula>AND(J$2289&lt;&gt;0,J$2289&lt;&gt;"")</formula>
    </cfRule>
    <cfRule type="expression" dxfId="195" priority="10731" stopIfTrue="1">
      <formula>J$2290&lt;&gt;"√"</formula>
    </cfRule>
  </conditionalFormatting>
  <conditionalFormatting sqref="L2289">
    <cfRule type="expression" dxfId="194" priority="10732">
      <formula>AND(L$2289&lt;&gt;0,L$2289&lt;&gt;"")</formula>
    </cfRule>
    <cfRule type="expression" dxfId="193" priority="10733" stopIfTrue="1">
      <formula>L$2290&lt;&gt;"√"</formula>
    </cfRule>
  </conditionalFormatting>
  <conditionalFormatting sqref="K2291">
    <cfRule type="expression" dxfId="192" priority="10734">
      <formula>AND($K$2291&lt;&gt;0,$K$2291&lt;&gt;"")</formula>
    </cfRule>
    <cfRule type="expression" dxfId="191" priority="10735" stopIfTrue="1">
      <formula>$L$2291&lt;&gt;"√"</formula>
    </cfRule>
  </conditionalFormatting>
  <conditionalFormatting sqref="H2311">
    <cfRule type="expression" dxfId="190" priority="10736">
      <formula>AND(H$2311&lt;&gt;0,H$2311&lt;&gt;"")</formula>
    </cfRule>
    <cfRule type="expression" dxfId="189" priority="10737" stopIfTrue="1">
      <formula>H$2312&lt;&gt;"√"</formula>
    </cfRule>
  </conditionalFormatting>
  <conditionalFormatting sqref="I2311">
    <cfRule type="expression" dxfId="188" priority="10738">
      <formula>AND(I$2311&lt;&gt;0,I$2311&lt;&gt;"")</formula>
    </cfRule>
    <cfRule type="expression" dxfId="187" priority="10739" stopIfTrue="1">
      <formula>I$2312&lt;&gt;"√"</formula>
    </cfRule>
  </conditionalFormatting>
  <conditionalFormatting sqref="K2313">
    <cfRule type="expression" dxfId="186" priority="10740">
      <formula>AND($K$2313&lt;&gt;0,$K$2313&lt;&gt;"")</formula>
    </cfRule>
    <cfRule type="expression" dxfId="185" priority="10741" stopIfTrue="1">
      <formula>$L$2313&lt;&gt;"√"</formula>
    </cfRule>
  </conditionalFormatting>
  <conditionalFormatting sqref="H2345">
    <cfRule type="expression" dxfId="184" priority="10742">
      <formula>AND(H$2345&lt;&gt;0,H$2345&lt;&gt;"")</formula>
    </cfRule>
    <cfRule type="expression" dxfId="183" priority="10743" stopIfTrue="1">
      <formula>H$2346&lt;&gt;"√"</formula>
    </cfRule>
  </conditionalFormatting>
  <conditionalFormatting sqref="N2345">
    <cfRule type="expression" dxfId="182" priority="10744">
      <formula>AND(N$2345&lt;&gt;0,N$2345&lt;&gt;"")</formula>
    </cfRule>
    <cfRule type="expression" dxfId="181" priority="10745" stopIfTrue="1">
      <formula>N$2346&lt;&gt;"√"</formula>
    </cfRule>
  </conditionalFormatting>
  <conditionalFormatting sqref="K2347">
    <cfRule type="expression" dxfId="180" priority="10746">
      <formula>AND($K$2347&lt;&gt;0,$K$2347&lt;&gt;"")</formula>
    </cfRule>
    <cfRule type="expression" dxfId="179" priority="10747" stopIfTrue="1">
      <formula>$L$2347&lt;&gt;"√"</formula>
    </cfRule>
  </conditionalFormatting>
  <conditionalFormatting sqref="H2459">
    <cfRule type="expression" dxfId="178" priority="10748">
      <formula>AND(H$2459&lt;&gt;0,H$2459&lt;&gt;"")</formula>
    </cfRule>
    <cfRule type="expression" dxfId="177" priority="10749" stopIfTrue="1">
      <formula>H$2460&lt;&gt;"√"</formula>
    </cfRule>
  </conditionalFormatting>
  <conditionalFormatting sqref="K2459">
    <cfRule type="expression" dxfId="176" priority="10750">
      <formula>AND(K$2459&lt;&gt;0,K$2459&lt;&gt;"")</formula>
    </cfRule>
    <cfRule type="expression" dxfId="175" priority="10751" stopIfTrue="1">
      <formula>K$2460&lt;&gt;"√"</formula>
    </cfRule>
  </conditionalFormatting>
  <conditionalFormatting sqref="M2459">
    <cfRule type="expression" dxfId="174" priority="10752">
      <formula>AND(M$2459&lt;&gt;0,M$2459&lt;&gt;"")</formula>
    </cfRule>
    <cfRule type="expression" dxfId="173" priority="10753" stopIfTrue="1">
      <formula>M$2460&lt;&gt;"√"</formula>
    </cfRule>
  </conditionalFormatting>
  <conditionalFormatting sqref="K2461">
    <cfRule type="expression" dxfId="172" priority="10754">
      <formula>AND($K$2461&lt;&gt;0,$K$2461&lt;&gt;"")</formula>
    </cfRule>
    <cfRule type="expression" dxfId="171" priority="10755" stopIfTrue="1">
      <formula>$L$2461&lt;&gt;"√"</formula>
    </cfRule>
  </conditionalFormatting>
  <conditionalFormatting sqref="I2427">
    <cfRule type="expression" dxfId="170" priority="10756">
      <formula>AND(I$2427&lt;&gt;0,I$2427&lt;&gt;"")</formula>
    </cfRule>
    <cfRule type="expression" dxfId="169" priority="10757" stopIfTrue="1">
      <formula>I$2428&lt;&gt;"√"</formula>
    </cfRule>
  </conditionalFormatting>
  <conditionalFormatting sqref="J2427">
    <cfRule type="expression" dxfId="168" priority="10758">
      <formula>AND(J$2427&lt;&gt;0,J$2427&lt;&gt;"")</formula>
    </cfRule>
    <cfRule type="expression" dxfId="167" priority="10759" stopIfTrue="1">
      <formula>J$2428&lt;&gt;"√"</formula>
    </cfRule>
  </conditionalFormatting>
  <conditionalFormatting sqref="M2427">
    <cfRule type="expression" dxfId="166" priority="10760">
      <formula>AND(M$2427&lt;&gt;0,M$2427&lt;&gt;"")</formula>
    </cfRule>
    <cfRule type="expression" dxfId="165" priority="10761" stopIfTrue="1">
      <formula>M$2428&lt;&gt;"√"</formula>
    </cfRule>
  </conditionalFormatting>
  <conditionalFormatting sqref="K2429">
    <cfRule type="expression" dxfId="164" priority="10762">
      <formula>AND($K$2429&lt;&gt;0,$K$2429&lt;&gt;"")</formula>
    </cfRule>
    <cfRule type="expression" dxfId="163" priority="10763" stopIfTrue="1">
      <formula>$L$2429&lt;&gt;"√"</formula>
    </cfRule>
  </conditionalFormatting>
  <conditionalFormatting sqref="H2893">
    <cfRule type="expression" dxfId="162" priority="10766">
      <formula>AND(H$2893&lt;&gt;0,H$2893&lt;&gt;"")</formula>
    </cfRule>
    <cfRule type="expression" dxfId="161" priority="10767" stopIfTrue="1">
      <formula>H$2894&lt;&gt;"√"</formula>
    </cfRule>
  </conditionalFormatting>
  <conditionalFormatting sqref="I2893">
    <cfRule type="expression" dxfId="160" priority="10768">
      <formula>AND(I$2893&lt;&gt;0,I$2893&lt;&gt;"")</formula>
    </cfRule>
    <cfRule type="expression" dxfId="159" priority="10769" stopIfTrue="1">
      <formula>I$2894&lt;&gt;"√"</formula>
    </cfRule>
  </conditionalFormatting>
  <conditionalFormatting sqref="K2895">
    <cfRule type="expression" dxfId="158" priority="10770">
      <formula>AND($K$2895&lt;&gt;0,$K$2895&lt;&gt;"")</formula>
    </cfRule>
    <cfRule type="expression" dxfId="157" priority="10771" stopIfTrue="1">
      <formula>$L$2895&lt;&gt;"√"</formula>
    </cfRule>
  </conditionalFormatting>
  <conditionalFormatting sqref="H3467">
    <cfRule type="expression" dxfId="156" priority="10772">
      <formula>AND(H$3467&lt;&gt;0,H$3467&lt;&gt;"")</formula>
    </cfRule>
    <cfRule type="expression" dxfId="155" priority="10773" stopIfTrue="1">
      <formula>H$3468&lt;&gt;"√"</formula>
    </cfRule>
  </conditionalFormatting>
  <conditionalFormatting sqref="I3467">
    <cfRule type="expression" dxfId="154" priority="10774">
      <formula>AND(I$3467&lt;&gt;0,I$3467&lt;&gt;"")</formula>
    </cfRule>
    <cfRule type="expression" dxfId="153" priority="10775" stopIfTrue="1">
      <formula>I$3468&lt;&gt;"√"</formula>
    </cfRule>
  </conditionalFormatting>
  <conditionalFormatting sqref="K3469">
    <cfRule type="expression" dxfId="152" priority="10776">
      <formula>AND($K$3469&lt;&gt;0,$K$3469&lt;&gt;"")</formula>
    </cfRule>
    <cfRule type="expression" dxfId="151" priority="10777" stopIfTrue="1">
      <formula>$L$3469&lt;&gt;"√"</formula>
    </cfRule>
  </conditionalFormatting>
  <conditionalFormatting sqref="H3554">
    <cfRule type="expression" dxfId="150" priority="10778">
      <formula>AND(H$3554&lt;&gt;0,H$3554&lt;&gt;"")</formula>
    </cfRule>
    <cfRule type="expression" dxfId="149" priority="10779" stopIfTrue="1">
      <formula>H$3555&lt;&gt;"√"</formula>
    </cfRule>
  </conditionalFormatting>
  <conditionalFormatting sqref="I3554">
    <cfRule type="expression" dxfId="148" priority="10780">
      <formula>AND(I$3554&lt;&gt;0,I$3554&lt;&gt;"")</formula>
    </cfRule>
    <cfRule type="expression" dxfId="147" priority="10781" stopIfTrue="1">
      <formula>I$3555&lt;&gt;"√"</formula>
    </cfRule>
  </conditionalFormatting>
  <conditionalFormatting sqref="K3556">
    <cfRule type="expression" dxfId="146" priority="10782">
      <formula>AND($K$3556&lt;&gt;0,$K$3556&lt;&gt;"")</formula>
    </cfRule>
    <cfRule type="expression" dxfId="145" priority="10783" stopIfTrue="1">
      <formula>$L$3556&lt;&gt;"√"</formula>
    </cfRule>
  </conditionalFormatting>
  <conditionalFormatting sqref="G3544:G3549">
    <cfRule type="expression" dxfId="144" priority="10784">
      <formula>$D3544&gt;1</formula>
    </cfRule>
    <cfRule type="expression" dxfId="143" priority="10785">
      <formula>$C3544="%IN"</formula>
    </cfRule>
    <cfRule type="expression" dxfId="142" priority="10786" stopIfTrue="1">
      <formula>$E3544=0</formula>
    </cfRule>
  </conditionalFormatting>
  <conditionalFormatting sqref="H3653">
    <cfRule type="expression" dxfId="141" priority="10787">
      <formula>AND(H$3653&lt;&gt;0,H$3653&lt;&gt;"")</formula>
    </cfRule>
    <cfRule type="expression" dxfId="140" priority="10788" stopIfTrue="1">
      <formula>H$3654&lt;&gt;"√"</formula>
    </cfRule>
  </conditionalFormatting>
  <conditionalFormatting sqref="I3653">
    <cfRule type="expression" dxfId="139" priority="10789">
      <formula>AND(I$3653&lt;&gt;0,I$3653&lt;&gt;"")</formula>
    </cfRule>
    <cfRule type="expression" dxfId="138" priority="10790" stopIfTrue="1">
      <formula>I$3654&lt;&gt;"√"</formula>
    </cfRule>
  </conditionalFormatting>
  <conditionalFormatting sqref="J3653">
    <cfRule type="expression" dxfId="137" priority="10791">
      <formula>AND(J$3653&lt;&gt;0,J$3653&lt;&gt;"")</formula>
    </cfRule>
    <cfRule type="expression" dxfId="136" priority="10792" stopIfTrue="1">
      <formula>J$3654&lt;&gt;"√"</formula>
    </cfRule>
  </conditionalFormatting>
  <conditionalFormatting sqref="K3653">
    <cfRule type="expression" dxfId="135" priority="10793">
      <formula>AND(K$3653&lt;&gt;0,K$3653&lt;&gt;"")</formula>
    </cfRule>
    <cfRule type="expression" dxfId="134" priority="10794" stopIfTrue="1">
      <formula>K$3654&lt;&gt;"√"</formula>
    </cfRule>
  </conditionalFormatting>
  <conditionalFormatting sqref="K3655">
    <cfRule type="expression" dxfId="133" priority="10795">
      <formula>AND($K$3655&lt;&gt;0,$K$3655&lt;&gt;"")</formula>
    </cfRule>
    <cfRule type="expression" dxfId="132" priority="10796" stopIfTrue="1">
      <formula>$L$3655&lt;&gt;"√"</formula>
    </cfRule>
  </conditionalFormatting>
  <conditionalFormatting sqref="H3677">
    <cfRule type="expression" dxfId="131" priority="10797">
      <formula>AND(H$3677&lt;&gt;0,H$3677&lt;&gt;"")</formula>
    </cfRule>
    <cfRule type="expression" dxfId="130" priority="10798" stopIfTrue="1">
      <formula>H$3678&lt;&gt;"√"</formula>
    </cfRule>
  </conditionalFormatting>
  <conditionalFormatting sqref="I3677">
    <cfRule type="expression" dxfId="129" priority="10799">
      <formula>AND(I$3677&lt;&gt;0,I$3677&lt;&gt;"")</formula>
    </cfRule>
    <cfRule type="expression" dxfId="128" priority="10800" stopIfTrue="1">
      <formula>I$3678&lt;&gt;"√"</formula>
    </cfRule>
  </conditionalFormatting>
  <conditionalFormatting sqref="J3677">
    <cfRule type="expression" dxfId="127" priority="10801">
      <formula>AND(J$3677&lt;&gt;0,J$3677&lt;&gt;"")</formula>
    </cfRule>
    <cfRule type="expression" dxfId="126" priority="10802" stopIfTrue="1">
      <formula>J$3678&lt;&gt;"√"</formula>
    </cfRule>
  </conditionalFormatting>
  <conditionalFormatting sqref="K3677">
    <cfRule type="expression" dxfId="125" priority="10803">
      <formula>AND(K$3677&lt;&gt;0,K$3677&lt;&gt;"")</formula>
    </cfRule>
    <cfRule type="expression" dxfId="124" priority="10804" stopIfTrue="1">
      <formula>K$3678&lt;&gt;"√"</formula>
    </cfRule>
  </conditionalFormatting>
  <conditionalFormatting sqref="K3679">
    <cfRule type="expression" dxfId="123" priority="10805">
      <formula>AND($K$3679&lt;&gt;0,$K$3679&lt;&gt;"")</formula>
    </cfRule>
    <cfRule type="expression" dxfId="122" priority="10806" stopIfTrue="1">
      <formula>$L$3679&lt;&gt;"√"</formula>
    </cfRule>
  </conditionalFormatting>
  <conditionalFormatting sqref="H3852">
    <cfRule type="expression" dxfId="121" priority="10808">
      <formula>AND(H$3852&lt;&gt;0,H$3852&lt;&gt;"")</formula>
    </cfRule>
    <cfRule type="expression" dxfId="120" priority="10809" stopIfTrue="1">
      <formula>H$3853&lt;&gt;"√"</formula>
    </cfRule>
  </conditionalFormatting>
  <conditionalFormatting sqref="I3852">
    <cfRule type="expression" dxfId="119" priority="10810">
      <formula>AND(I$3852&lt;&gt;0,I$3852&lt;&gt;"")</formula>
    </cfRule>
    <cfRule type="expression" dxfId="118" priority="10811" stopIfTrue="1">
      <formula>I$3853&lt;&gt;"√"</formula>
    </cfRule>
  </conditionalFormatting>
  <conditionalFormatting sqref="K3854">
    <cfRule type="expression" dxfId="117" priority="10812">
      <formula>AND($K$3854&lt;&gt;0,$K$3854&lt;&gt;"")</formula>
    </cfRule>
    <cfRule type="expression" dxfId="116" priority="10813" stopIfTrue="1">
      <formula>$L$3854&lt;&gt;"√"</formula>
    </cfRule>
  </conditionalFormatting>
  <conditionalFormatting sqref="H4132">
    <cfRule type="expression" dxfId="115" priority="10814">
      <formula>AND(H$4132&lt;&gt;0,H$4132&lt;&gt;"")</formula>
    </cfRule>
    <cfRule type="expression" dxfId="114" priority="10815" stopIfTrue="1">
      <formula>H$4133&lt;&gt;"√"</formula>
    </cfRule>
  </conditionalFormatting>
  <conditionalFormatting sqref="I4132">
    <cfRule type="expression" dxfId="113" priority="10816">
      <formula>AND(I$4132&lt;&gt;0,I$4132&lt;&gt;"")</formula>
    </cfRule>
    <cfRule type="expression" dxfId="112" priority="10817" stopIfTrue="1">
      <formula>I$4133&lt;&gt;"√"</formula>
    </cfRule>
  </conditionalFormatting>
  <conditionalFormatting sqref="K4134">
    <cfRule type="expression" dxfId="111" priority="10818">
      <formula>AND($K$4134&lt;&gt;0,$K$4134&lt;&gt;"")</formula>
    </cfRule>
    <cfRule type="expression" dxfId="110" priority="10819" stopIfTrue="1">
      <formula>$L$4134&lt;&gt;"√"</formula>
    </cfRule>
  </conditionalFormatting>
  <conditionalFormatting sqref="H4282">
    <cfRule type="expression" dxfId="109" priority="10820">
      <formula>AND(H$4282&lt;&gt;0,H$4282&lt;&gt;"")</formula>
    </cfRule>
    <cfRule type="expression" dxfId="108" priority="10821" stopIfTrue="1">
      <formula>H$4283&lt;&gt;"√"</formula>
    </cfRule>
  </conditionalFormatting>
  <conditionalFormatting sqref="M4282">
    <cfRule type="expression" dxfId="107" priority="10822">
      <formula>AND(M$4282&lt;&gt;0,M$4282&lt;&gt;"")</formula>
    </cfRule>
    <cfRule type="expression" dxfId="106" priority="10823" stopIfTrue="1">
      <formula>M$4283&lt;&gt;"√"</formula>
    </cfRule>
  </conditionalFormatting>
  <conditionalFormatting sqref="K4284">
    <cfRule type="expression" dxfId="105" priority="10824">
      <formula>AND($K$4284&lt;&gt;0,$K$4284&lt;&gt;"")</formula>
    </cfRule>
    <cfRule type="expression" dxfId="104" priority="10825" stopIfTrue="1">
      <formula>$L$4284&lt;&gt;"√"</formula>
    </cfRule>
  </conditionalFormatting>
  <conditionalFormatting sqref="G4641">
    <cfRule type="expression" dxfId="103" priority="10834">
      <formula>$D4640&gt;1</formula>
    </cfRule>
    <cfRule type="expression" dxfId="102" priority="10835">
      <formula>$C4640="%IN"</formula>
    </cfRule>
    <cfRule type="expression" dxfId="101" priority="10836" stopIfTrue="1">
      <formula>$E4640=0</formula>
    </cfRule>
  </conditionalFormatting>
  <conditionalFormatting sqref="G4640">
    <cfRule type="expression" dxfId="100" priority="10841">
      <formula>$D4641&gt;1</formula>
    </cfRule>
    <cfRule type="expression" dxfId="99" priority="10842">
      <formula>$C4641="%IN"</formula>
    </cfRule>
    <cfRule type="expression" dxfId="98" priority="10843" stopIfTrue="1">
      <formula>$E4641=0</formula>
    </cfRule>
  </conditionalFormatting>
  <conditionalFormatting sqref="H4794">
    <cfRule type="expression" dxfId="97" priority="10844">
      <formula>AND(H$4794&lt;&gt;0,H$4794&lt;&gt;"")</formula>
    </cfRule>
    <cfRule type="expression" dxfId="96" priority="10845" stopIfTrue="1">
      <formula>H$4795&lt;&gt;"√"</formula>
    </cfRule>
  </conditionalFormatting>
  <conditionalFormatting sqref="K4796">
    <cfRule type="expression" dxfId="95" priority="10846">
      <formula>AND($K$4796&lt;&gt;0,$K$4796&lt;&gt;"")</formula>
    </cfRule>
    <cfRule type="expression" dxfId="94" priority="10847" stopIfTrue="1">
      <formula>$L$4796&lt;&gt;"√"</formula>
    </cfRule>
  </conditionalFormatting>
  <conditionalFormatting sqref="L777">
    <cfRule type="expression" dxfId="93" priority="10849" stopIfTrue="1">
      <formula>OR($L$777="F/S",$L$777="")</formula>
    </cfRule>
    <cfRule type="cellIs" dxfId="92" priority="10850" stopIfTrue="1" operator="notEqual">
      <formula>0</formula>
    </cfRule>
  </conditionalFormatting>
  <conditionalFormatting sqref="O777">
    <cfRule type="expression" dxfId="91" priority="10851" stopIfTrue="1">
      <formula>OR($O$777="F/S",$O$777="")</formula>
    </cfRule>
    <cfRule type="cellIs" dxfId="90" priority="10852" stopIfTrue="1" operator="notEqual">
      <formula>0</formula>
    </cfRule>
  </conditionalFormatting>
  <conditionalFormatting sqref="I777">
    <cfRule type="expression" dxfId="89" priority="43" stopIfTrue="1">
      <formula>$I777="适用"</formula>
    </cfRule>
    <cfRule type="expression" dxfId="88" priority="44" stopIfTrue="1">
      <formula>$I777="不适用"</formula>
    </cfRule>
  </conditionalFormatting>
  <conditionalFormatting sqref="Q777">
    <cfRule type="expression" dxfId="87" priority="42" stopIfTrue="1">
      <formula>$Q777="请输入"</formula>
    </cfRule>
  </conditionalFormatting>
  <conditionalFormatting sqref="L792:L794 L796:L803">
    <cfRule type="expression" dxfId="86" priority="10856" stopIfTrue="1">
      <formula>OR($L$792="F/S",$L$792="")</formula>
    </cfRule>
    <cfRule type="cellIs" dxfId="85" priority="10857" stopIfTrue="1" operator="notEqual">
      <formula>0</formula>
    </cfRule>
  </conditionalFormatting>
  <conditionalFormatting sqref="O792:O810">
    <cfRule type="expression" dxfId="84" priority="10858" stopIfTrue="1">
      <formula>OR($O$792="F/S",$O$792="")</formula>
    </cfRule>
    <cfRule type="cellIs" dxfId="83" priority="10859" stopIfTrue="1" operator="notEqual">
      <formula>0</formula>
    </cfRule>
  </conditionalFormatting>
  <conditionalFormatting sqref="I792">
    <cfRule type="expression" dxfId="82" priority="33" stopIfTrue="1">
      <formula>$I792="适用"</formula>
    </cfRule>
    <cfRule type="expression" dxfId="81" priority="34" stopIfTrue="1">
      <formula>$I792="不适用"</formula>
    </cfRule>
  </conditionalFormatting>
  <conditionalFormatting sqref="L811:L813 L816:L825">
    <cfRule type="expression" dxfId="80" priority="10863" stopIfTrue="1">
      <formula>OR($L$811="F/S",$L$811="")</formula>
    </cfRule>
    <cfRule type="cellIs" dxfId="79" priority="10864" stopIfTrue="1" operator="notEqual">
      <formula>0</formula>
    </cfRule>
  </conditionalFormatting>
  <conditionalFormatting sqref="O811:O832">
    <cfRule type="expression" dxfId="78" priority="10865" stopIfTrue="1">
      <formula>OR($O$811="F/S",$O$811="")</formula>
    </cfRule>
    <cfRule type="cellIs" dxfId="77" priority="10866" stopIfTrue="1" operator="notEqual">
      <formula>0</formula>
    </cfRule>
  </conditionalFormatting>
  <conditionalFormatting sqref="I811">
    <cfRule type="expression" dxfId="76" priority="23" stopIfTrue="1">
      <formula>$I811="适用"</formula>
    </cfRule>
    <cfRule type="expression" dxfId="75" priority="24" stopIfTrue="1">
      <formula>$I811="不适用"</formula>
    </cfRule>
  </conditionalFormatting>
  <conditionalFormatting sqref="L833:L835 L838:L847">
    <cfRule type="expression" dxfId="74" priority="10870" stopIfTrue="1">
      <formula>OR($L$833="F/S",$L$833="")</formula>
    </cfRule>
    <cfRule type="cellIs" dxfId="73" priority="10871" stopIfTrue="1" operator="notEqual">
      <formula>0</formula>
    </cfRule>
  </conditionalFormatting>
  <conditionalFormatting sqref="O833:O847">
    <cfRule type="expression" dxfId="72" priority="10872" stopIfTrue="1">
      <formula>OR($O$833="F/S",$O$833="")</formula>
    </cfRule>
    <cfRule type="cellIs" dxfId="71" priority="10873" stopIfTrue="1" operator="notEqual">
      <formula>0</formula>
    </cfRule>
  </conditionalFormatting>
  <conditionalFormatting sqref="I833">
    <cfRule type="expression" dxfId="70" priority="16" stopIfTrue="1">
      <formula>$I833="适用"</formula>
    </cfRule>
    <cfRule type="expression" dxfId="69" priority="17" stopIfTrue="1">
      <formula>$I833="不适用"</formula>
    </cfRule>
  </conditionalFormatting>
  <conditionalFormatting sqref="Q833:Q847">
    <cfRule type="expression" dxfId="68" priority="15" stopIfTrue="1">
      <formula>$Q833="请输入"</formula>
    </cfRule>
  </conditionalFormatting>
  <conditionalFormatting sqref="G711:G719">
    <cfRule type="expression" dxfId="67" priority="10889">
      <formula>$D711&gt;1</formula>
    </cfRule>
    <cfRule type="expression" dxfId="66" priority="10890">
      <formula>$C711="%IN"</formula>
    </cfRule>
    <cfRule type="expression" dxfId="65" priority="10891" stopIfTrue="1">
      <formula>$E711=0</formula>
    </cfRule>
  </conditionalFormatting>
  <conditionalFormatting sqref="G726:G731">
    <cfRule type="expression" dxfId="64" priority="10892">
      <formula>$D726&gt;1</formula>
    </cfRule>
    <cfRule type="expression" dxfId="63" priority="10893">
      <formula>$C726="%IN"</formula>
    </cfRule>
    <cfRule type="expression" dxfId="62" priority="10894" stopIfTrue="1">
      <formula>$E726=0</formula>
    </cfRule>
  </conditionalFormatting>
  <conditionalFormatting sqref="G745:G753">
    <cfRule type="expression" dxfId="61" priority="10895">
      <formula>$D745&gt;1</formula>
    </cfRule>
    <cfRule type="expression" dxfId="60" priority="10896">
      <formula>$C745="%IN"</formula>
    </cfRule>
    <cfRule type="expression" dxfId="59" priority="10897" stopIfTrue="1">
      <formula>$E745=0</formula>
    </cfRule>
  </conditionalFormatting>
  <conditionalFormatting sqref="G767:G775">
    <cfRule type="expression" dxfId="58" priority="10898">
      <formula>$D767&gt;1</formula>
    </cfRule>
    <cfRule type="expression" dxfId="57" priority="10899">
      <formula>$C767="%IN"</formula>
    </cfRule>
    <cfRule type="expression" dxfId="56" priority="10900" stopIfTrue="1">
      <formula>$E767=0</formula>
    </cfRule>
  </conditionalFormatting>
  <conditionalFormatting sqref="G782:G790">
    <cfRule type="expression" dxfId="55" priority="10901">
      <formula>$D782&gt;1</formula>
    </cfRule>
    <cfRule type="expression" dxfId="54" priority="10902">
      <formula>$C782="%IN"</formula>
    </cfRule>
    <cfRule type="expression" dxfId="53" priority="10903" stopIfTrue="1">
      <formula>$E782=0</formula>
    </cfRule>
  </conditionalFormatting>
  <conditionalFormatting sqref="G797:G802">
    <cfRule type="expression" dxfId="52" priority="10904">
      <formula>$D797&gt;1</formula>
    </cfRule>
    <cfRule type="expression" dxfId="51" priority="10905">
      <formula>$C797="%IN"</formula>
    </cfRule>
    <cfRule type="expression" dxfId="50" priority="10906" stopIfTrue="1">
      <formula>$E797=0</formula>
    </cfRule>
  </conditionalFormatting>
  <conditionalFormatting sqref="G816:G824">
    <cfRule type="expression" dxfId="49" priority="10907">
      <formula>$D816&gt;1</formula>
    </cfRule>
    <cfRule type="expression" dxfId="48" priority="10908">
      <formula>$C816="%IN"</formula>
    </cfRule>
    <cfRule type="expression" dxfId="47" priority="10909" stopIfTrue="1">
      <formula>$E816=0</formula>
    </cfRule>
  </conditionalFormatting>
  <conditionalFormatting sqref="G838:G846">
    <cfRule type="expression" dxfId="46" priority="10910">
      <formula>$D838&gt;1</formula>
    </cfRule>
    <cfRule type="expression" dxfId="45" priority="10911">
      <formula>$C838="%IN"</formula>
    </cfRule>
    <cfRule type="expression" dxfId="44" priority="10912" stopIfTrue="1">
      <formula>$E838=0</formula>
    </cfRule>
  </conditionalFormatting>
  <conditionalFormatting sqref="J736">
    <cfRule type="expression" dxfId="43" priority="10913">
      <formula>AND(J$736&lt;&gt;0,J$736&lt;&gt;"")</formula>
    </cfRule>
    <cfRule type="expression" dxfId="42" priority="10914" stopIfTrue="1">
      <formula>J$737&lt;&gt;"√"</formula>
    </cfRule>
  </conditionalFormatting>
  <conditionalFormatting sqref="K738">
    <cfRule type="expression" dxfId="41" priority="10915">
      <formula>AND($K$738&lt;&gt;0,$K$738&lt;&gt;"")</formula>
    </cfRule>
    <cfRule type="expression" dxfId="40" priority="10916" stopIfTrue="1">
      <formula>$L$738&lt;&gt;"√"</formula>
    </cfRule>
  </conditionalFormatting>
  <conditionalFormatting sqref="J758">
    <cfRule type="expression" dxfId="39" priority="10917">
      <formula>AND(J$758&lt;&gt;0,J$758&lt;&gt;"")</formula>
    </cfRule>
    <cfRule type="expression" dxfId="38" priority="10918" stopIfTrue="1">
      <formula>J$759&lt;&gt;"√"</formula>
    </cfRule>
  </conditionalFormatting>
  <conditionalFormatting sqref="K760">
    <cfRule type="expression" dxfId="37" priority="10919">
      <formula>AND($K$760&lt;&gt;0,$K$760&lt;&gt;"")</formula>
    </cfRule>
    <cfRule type="expression" dxfId="36" priority="10920" stopIfTrue="1">
      <formula>$L$760&lt;&gt;"√"</formula>
    </cfRule>
  </conditionalFormatting>
  <conditionalFormatting sqref="J807">
    <cfRule type="expression" dxfId="35" priority="10921">
      <formula>AND(J$807&lt;&gt;0,J$807&lt;&gt;"")</formula>
    </cfRule>
    <cfRule type="expression" dxfId="34" priority="10922" stopIfTrue="1">
      <formula>J$808&lt;&gt;"√"</formula>
    </cfRule>
  </conditionalFormatting>
  <conditionalFormatting sqref="K809">
    <cfRule type="expression" dxfId="33" priority="10923">
      <formula>AND($K$809&lt;&gt;0,$K$809&lt;&gt;"")</formula>
    </cfRule>
    <cfRule type="expression" dxfId="32" priority="10924" stopIfTrue="1">
      <formula>$L$809&lt;&gt;"√"</formula>
    </cfRule>
  </conditionalFormatting>
  <conditionalFormatting sqref="J829">
    <cfRule type="expression" dxfId="31" priority="10925">
      <formula>AND(J$829&lt;&gt;0,J$829&lt;&gt;"")</formula>
    </cfRule>
    <cfRule type="expression" dxfId="30" priority="10926" stopIfTrue="1">
      <formula>J$830&lt;&gt;"√"</formula>
    </cfRule>
  </conditionalFormatting>
  <conditionalFormatting sqref="K831">
    <cfRule type="expression" dxfId="29" priority="10927">
      <formula>AND($K$831&lt;&gt;0,$K$831&lt;&gt;"")</formula>
    </cfRule>
    <cfRule type="expression" dxfId="28" priority="10928" stopIfTrue="1">
      <formula>$L$831&lt;&gt;"√"</formula>
    </cfRule>
  </conditionalFormatting>
  <conditionalFormatting sqref="G1966:G1969">
    <cfRule type="expression" dxfId="27" priority="10929">
      <formula>$D1966&gt;1</formula>
    </cfRule>
    <cfRule type="expression" dxfId="26" priority="10930">
      <formula>$C1966="%IN"</formula>
    </cfRule>
    <cfRule type="expression" dxfId="25" priority="10931" stopIfTrue="1">
      <formula>$E1966=0</formula>
    </cfRule>
  </conditionalFormatting>
  <conditionalFormatting sqref="G2066:G2070">
    <cfRule type="expression" dxfId="24" priority="10932">
      <formula>$D2066&gt;1</formula>
    </cfRule>
    <cfRule type="expression" dxfId="23" priority="10933">
      <formula>$C2066="%IN"</formula>
    </cfRule>
    <cfRule type="expression" dxfId="22" priority="10934" stopIfTrue="1">
      <formula>$E2066=0</formula>
    </cfRule>
  </conditionalFormatting>
  <conditionalFormatting sqref="G2082:G2090">
    <cfRule type="expression" dxfId="21" priority="10935">
      <formula>$D2082&gt;1</formula>
    </cfRule>
    <cfRule type="expression" dxfId="20" priority="10936">
      <formula>$C2082="%IN"</formula>
    </cfRule>
    <cfRule type="expression" dxfId="19" priority="10937" stopIfTrue="1">
      <formula>$E2082=0</formula>
    </cfRule>
  </conditionalFormatting>
  <conditionalFormatting sqref="G2095:G2103">
    <cfRule type="expression" dxfId="18" priority="10938">
      <formula>$D2095&gt;1</formula>
    </cfRule>
    <cfRule type="expression" dxfId="17" priority="10939">
      <formula>$C2095="%IN"</formula>
    </cfRule>
    <cfRule type="expression" dxfId="16" priority="10940" stopIfTrue="1">
      <formula>$E2095=0</formula>
    </cfRule>
  </conditionalFormatting>
  <conditionalFormatting sqref="G2108:G2116">
    <cfRule type="expression" dxfId="15" priority="10941">
      <formula>$D2108&gt;1</formula>
    </cfRule>
    <cfRule type="expression" dxfId="14" priority="10942">
      <formula>$C2108="%IN"</formula>
    </cfRule>
    <cfRule type="expression" dxfId="13" priority="10943" stopIfTrue="1">
      <formula>$E2108=0</formula>
    </cfRule>
  </conditionalFormatting>
  <conditionalFormatting sqref="N2133">
    <cfRule type="expression" dxfId="12" priority="10944">
      <formula>AND(N$2133&lt;&gt;0,N$2133&lt;&gt;"")</formula>
    </cfRule>
    <cfRule type="expression" dxfId="11" priority="10945" stopIfTrue="1">
      <formula>N$2134&lt;&gt;"√"</formula>
    </cfRule>
  </conditionalFormatting>
  <conditionalFormatting sqref="K2135">
    <cfRule type="expression" dxfId="10" priority="10946">
      <formula>AND($K$2135&lt;&gt;0,$K$2135&lt;&gt;"")</formula>
    </cfRule>
    <cfRule type="expression" dxfId="9" priority="10947" stopIfTrue="1">
      <formula>$L$2135&lt;&gt;"√"</formula>
    </cfRule>
  </conditionalFormatting>
  <conditionalFormatting sqref="I2075">
    <cfRule type="expression" dxfId="8" priority="10948">
      <formula>AND(I$2075&lt;&gt;0,I$2075&lt;&gt;"")</formula>
    </cfRule>
    <cfRule type="expression" dxfId="7" priority="10949" stopIfTrue="1">
      <formula>I$2076&lt;&gt;"√"</formula>
    </cfRule>
  </conditionalFormatting>
  <conditionalFormatting sqref="K2077">
    <cfRule type="expression" dxfId="6" priority="10950">
      <formula>AND($K$2077&lt;&gt;0,$K$2077&lt;&gt;"")</formula>
    </cfRule>
    <cfRule type="expression" dxfId="5" priority="10951" stopIfTrue="1">
      <formula>$L$2077&lt;&gt;"√"</formula>
    </cfRule>
  </conditionalFormatting>
  <conditionalFormatting sqref="S3:S4 S7">
    <cfRule type="containsText" dxfId="4" priority="4" stopIfTrue="1" operator="containsText" text="删除">
      <formula>NOT(ISERROR(SEARCH("删除",S3)))</formula>
    </cfRule>
    <cfRule type="containsText" dxfId="3" priority="5" stopIfTrue="1" operator="containsText" text="修改">
      <formula>NOT(ISERROR(SEARCH("修改",S3)))</formula>
    </cfRule>
    <cfRule type="containsText" dxfId="2"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09765625" defaultRowHeight="13"/>
  <cols>
    <col min="1" max="1" width="4.8984375" style="1" customWidth="1"/>
    <col min="2" max="2" width="5.69921875" style="1" customWidth="1"/>
    <col min="3" max="3" width="35" style="1" customWidth="1"/>
    <col min="4" max="5" width="15.69921875" style="1" customWidth="1"/>
    <col min="6" max="6" width="9.09765625" style="1"/>
    <col min="7" max="7" width="4.69921875" style="1" customWidth="1"/>
    <col min="8" max="16384" width="9.09765625" style="1"/>
  </cols>
  <sheetData>
    <row r="2" spans="1:10" ht="18" customHeight="1">
      <c r="B2" s="2" t="s">
        <v>2520</v>
      </c>
      <c r="C2" s="3" t="str">
        <f>IF(Lead!$C$5="","",Lead!$C$5)</f>
        <v>余江县天骏投资管理有限公司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43864</v>
      </c>
      <c r="I3" s="14" t="s">
        <v>6595</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7">
      <c r="A7" s="30"/>
      <c r="B7" s="237" t="s">
        <v>4864</v>
      </c>
      <c r="C7" s="129"/>
      <c r="D7" s="238"/>
      <c r="E7" s="238"/>
      <c r="F7" s="238"/>
      <c r="G7" s="238"/>
      <c r="H7" s="238"/>
      <c r="I7" s="238"/>
      <c r="J7" s="238"/>
    </row>
    <row r="8" spans="1:10" ht="17">
      <c r="A8" s="30"/>
      <c r="B8" s="1457" t="s">
        <v>4865</v>
      </c>
      <c r="C8" s="239" t="s">
        <v>4866</v>
      </c>
      <c r="D8" s="238"/>
      <c r="E8" s="238"/>
      <c r="F8" s="238"/>
      <c r="G8" s="238"/>
      <c r="H8" s="238"/>
      <c r="I8" s="238"/>
      <c r="J8" s="238"/>
    </row>
    <row r="9" spans="1:10" ht="17">
      <c r="A9" s="30"/>
      <c r="B9" s="1457" t="s">
        <v>4867</v>
      </c>
      <c r="C9" s="239" t="s">
        <v>4868</v>
      </c>
      <c r="D9" s="238"/>
      <c r="E9" s="238"/>
      <c r="F9" s="238"/>
      <c r="G9" s="238"/>
      <c r="H9" s="238"/>
      <c r="I9" s="238"/>
      <c r="J9" s="238"/>
    </row>
    <row r="10" spans="1:10" ht="17">
      <c r="A10" s="30"/>
      <c r="B10" s="1457" t="s">
        <v>4869</v>
      </c>
      <c r="C10" s="239" t="s">
        <v>4870</v>
      </c>
      <c r="D10" s="238"/>
      <c r="E10" s="238"/>
      <c r="F10" s="238"/>
      <c r="G10" s="238"/>
      <c r="H10" s="238"/>
      <c r="I10" s="238"/>
      <c r="J10" s="238"/>
    </row>
    <row r="11" spans="1:10" ht="17">
      <c r="A11" s="30"/>
      <c r="B11" s="1457" t="s">
        <v>4871</v>
      </c>
      <c r="C11" s="239" t="s">
        <v>4872</v>
      </c>
      <c r="D11" s="238"/>
      <c r="E11" s="238"/>
      <c r="F11" s="238"/>
      <c r="G11" s="238"/>
      <c r="H11" s="238"/>
      <c r="I11" s="238"/>
      <c r="J11" s="238"/>
    </row>
    <row r="12" spans="1:10" ht="17">
      <c r="A12" s="30"/>
      <c r="B12" s="237" t="s">
        <v>4873</v>
      </c>
      <c r="C12" s="130"/>
      <c r="D12" s="238"/>
      <c r="E12" s="238"/>
      <c r="F12" s="238"/>
      <c r="G12" s="238"/>
      <c r="H12" s="238"/>
      <c r="I12" s="238"/>
      <c r="J12" s="238"/>
    </row>
    <row r="13" spans="1:10" ht="17">
      <c r="A13" s="30"/>
      <c r="B13" s="240" t="s">
        <v>4874</v>
      </c>
      <c r="C13" s="129" t="s">
        <v>4875</v>
      </c>
      <c r="D13" s="238"/>
      <c r="E13" s="238"/>
      <c r="F13" s="238"/>
      <c r="G13" s="238"/>
      <c r="H13" s="238"/>
      <c r="I13" s="238"/>
      <c r="J13" s="238"/>
    </row>
    <row r="14" spans="1:10" ht="17">
      <c r="A14" s="30"/>
      <c r="B14" s="241">
        <v>1.1000000000000001</v>
      </c>
      <c r="C14" s="238" t="s">
        <v>4876</v>
      </c>
      <c r="D14" s="238"/>
      <c r="E14" s="238"/>
      <c r="F14" s="238"/>
      <c r="G14" s="238"/>
      <c r="H14" s="238"/>
      <c r="I14" s="238"/>
      <c r="J14" s="238"/>
    </row>
    <row r="15" spans="1:10" ht="17">
      <c r="A15" s="30"/>
      <c r="B15" s="238"/>
      <c r="C15" s="238" t="s">
        <v>4877</v>
      </c>
      <c r="D15" s="238"/>
      <c r="E15" s="238"/>
      <c r="F15" s="238"/>
      <c r="G15" s="238"/>
      <c r="H15" s="238"/>
      <c r="I15" s="238"/>
      <c r="J15" s="238"/>
    </row>
    <row r="16" spans="1:10" ht="17">
      <c r="A16" s="30"/>
      <c r="B16" s="238"/>
      <c r="C16" s="242" t="s">
        <v>2273</v>
      </c>
      <c r="D16" s="243"/>
      <c r="E16" s="238"/>
      <c r="F16" s="238"/>
      <c r="G16" s="238"/>
      <c r="H16" s="238"/>
      <c r="I16" s="238"/>
      <c r="J16" s="238"/>
    </row>
    <row r="17" spans="1:10" ht="17">
      <c r="A17" s="30"/>
      <c r="B17" s="238"/>
      <c r="C17" s="238" t="s">
        <v>4878</v>
      </c>
      <c r="D17" s="238"/>
      <c r="E17" s="238"/>
      <c r="F17" s="238"/>
      <c r="G17" s="238"/>
      <c r="H17" s="238"/>
      <c r="I17" s="238"/>
      <c r="J17" s="238"/>
    </row>
    <row r="18" spans="1:10" ht="17">
      <c r="A18" s="30"/>
      <c r="B18" s="130"/>
      <c r="C18" s="244" t="s">
        <v>47</v>
      </c>
      <c r="D18" s="245" t="s">
        <v>3086</v>
      </c>
      <c r="E18" s="130"/>
      <c r="F18" s="130"/>
      <c r="G18" s="130"/>
      <c r="H18" s="130"/>
      <c r="I18" s="130"/>
      <c r="J18" s="130"/>
    </row>
    <row r="19" spans="1:10" ht="17">
      <c r="A19" s="30"/>
      <c r="B19" s="130"/>
      <c r="C19" s="246" t="s">
        <v>42</v>
      </c>
      <c r="D19" s="247"/>
      <c r="E19" s="130"/>
      <c r="F19" s="130"/>
      <c r="G19" s="130"/>
      <c r="H19" s="130"/>
      <c r="I19" s="130"/>
      <c r="J19" s="130"/>
    </row>
    <row r="20" spans="1:10" ht="17">
      <c r="A20" s="30"/>
      <c r="B20" s="130"/>
      <c r="C20" s="246" t="s">
        <v>66</v>
      </c>
      <c r="D20" s="247"/>
      <c r="E20" s="130"/>
      <c r="F20" s="130"/>
      <c r="G20" s="130"/>
      <c r="H20" s="130"/>
      <c r="I20" s="130"/>
      <c r="J20" s="130"/>
    </row>
    <row r="21" spans="1:10" ht="17">
      <c r="A21" s="30"/>
      <c r="B21" s="130"/>
      <c r="C21" s="246" t="s">
        <v>85</v>
      </c>
      <c r="D21" s="247"/>
      <c r="E21" s="130"/>
      <c r="F21" s="130"/>
      <c r="G21" s="130"/>
      <c r="H21" s="130"/>
      <c r="I21" s="130"/>
      <c r="J21" s="130"/>
    </row>
    <row r="22" spans="1:10" ht="17">
      <c r="A22" s="30"/>
      <c r="B22" s="130"/>
      <c r="C22" s="246" t="s">
        <v>4879</v>
      </c>
      <c r="D22" s="247"/>
      <c r="E22" s="130"/>
      <c r="F22" s="130"/>
      <c r="G22" s="130"/>
      <c r="H22" s="130"/>
      <c r="I22" s="130"/>
      <c r="J22" s="130"/>
    </row>
    <row r="23" spans="1:10" ht="17">
      <c r="A23" s="30"/>
      <c r="B23" s="130"/>
      <c r="C23" s="246" t="s">
        <v>4419</v>
      </c>
      <c r="D23" s="248"/>
      <c r="E23" s="130"/>
      <c r="F23" s="130"/>
      <c r="G23" s="130"/>
      <c r="H23" s="130"/>
      <c r="I23" s="130"/>
      <c r="J23" s="130"/>
    </row>
    <row r="24" spans="1:10" ht="17">
      <c r="A24" s="30"/>
      <c r="B24" s="130"/>
      <c r="C24" s="249" t="s">
        <v>4880</v>
      </c>
      <c r="D24" s="250">
        <f>SUM(D19:D22)</f>
        <v>0</v>
      </c>
      <c r="E24" s="130"/>
      <c r="F24" s="130"/>
      <c r="G24" s="130"/>
      <c r="H24" s="130"/>
      <c r="I24" s="130"/>
      <c r="J24" s="130"/>
    </row>
    <row r="25" spans="1:10" ht="17">
      <c r="A25" s="30"/>
      <c r="B25" s="130"/>
      <c r="C25" s="251"/>
      <c r="D25" s="169"/>
      <c r="E25" s="130"/>
      <c r="F25" s="130"/>
      <c r="G25" s="130"/>
      <c r="H25" s="130"/>
      <c r="I25" s="130"/>
      <c r="J25" s="130"/>
    </row>
    <row r="26" spans="1:10" ht="17">
      <c r="A26" s="30"/>
      <c r="B26" s="241">
        <v>1.2</v>
      </c>
      <c r="C26" s="252" t="s">
        <v>4881</v>
      </c>
      <c r="D26" s="253"/>
      <c r="E26" s="130"/>
      <c r="F26" s="130"/>
      <c r="G26" s="130"/>
      <c r="H26" s="130"/>
      <c r="I26" s="130"/>
      <c r="J26" s="130"/>
    </row>
    <row r="27" spans="1:10" ht="17">
      <c r="A27" s="30"/>
      <c r="B27" s="241"/>
      <c r="C27" s="244" t="s">
        <v>47</v>
      </c>
      <c r="D27" s="245" t="s">
        <v>3086</v>
      </c>
      <c r="E27" s="130"/>
      <c r="F27" s="130"/>
      <c r="G27" s="130"/>
      <c r="H27" s="130"/>
      <c r="I27" s="130"/>
      <c r="J27" s="130"/>
    </row>
    <row r="28" spans="1:10" ht="17">
      <c r="A28" s="30"/>
      <c r="B28" s="130"/>
      <c r="C28" s="254" t="s">
        <v>4882</v>
      </c>
      <c r="D28" s="255"/>
      <c r="E28" s="130"/>
      <c r="F28" s="130"/>
      <c r="G28" s="130"/>
      <c r="H28" s="130"/>
      <c r="I28" s="130"/>
      <c r="J28" s="130"/>
    </row>
    <row r="29" spans="1:10" ht="17">
      <c r="A29" s="30"/>
      <c r="B29" s="130"/>
      <c r="C29" s="246" t="s">
        <v>4883</v>
      </c>
      <c r="D29" s="247"/>
      <c r="E29" s="130"/>
      <c r="F29" s="130"/>
      <c r="G29" s="130"/>
      <c r="H29" s="130"/>
      <c r="I29" s="130"/>
      <c r="J29" s="130"/>
    </row>
    <row r="30" spans="1:10" ht="17">
      <c r="A30" s="30"/>
      <c r="B30" s="130"/>
      <c r="C30" s="256" t="s">
        <v>4884</v>
      </c>
      <c r="D30" s="247"/>
      <c r="E30" s="130"/>
      <c r="F30" s="130"/>
      <c r="G30" s="130"/>
      <c r="H30" s="130"/>
      <c r="I30" s="130"/>
      <c r="J30" s="130"/>
    </row>
    <row r="31" spans="1:10" ht="17">
      <c r="A31" s="30"/>
      <c r="B31" s="130"/>
      <c r="C31" s="256"/>
      <c r="D31" s="247"/>
      <c r="E31" s="130"/>
      <c r="F31" s="130"/>
      <c r="G31" s="130"/>
      <c r="H31" s="130"/>
      <c r="I31" s="130"/>
      <c r="J31" s="130"/>
    </row>
    <row r="32" spans="1:10" ht="17">
      <c r="A32" s="30"/>
      <c r="B32" s="130"/>
      <c r="C32" s="256" t="s">
        <v>4885</v>
      </c>
      <c r="D32" s="247"/>
      <c r="E32" s="130"/>
      <c r="F32" s="130"/>
      <c r="G32" s="130"/>
      <c r="H32" s="130"/>
      <c r="I32" s="130"/>
      <c r="J32" s="130"/>
    </row>
    <row r="33" spans="1:10" ht="17">
      <c r="A33" s="30"/>
      <c r="B33" s="130"/>
      <c r="C33" s="256"/>
      <c r="D33" s="247"/>
      <c r="E33" s="130"/>
      <c r="F33" s="130"/>
      <c r="G33" s="130"/>
      <c r="H33" s="130"/>
      <c r="I33" s="130"/>
      <c r="J33" s="130"/>
    </row>
    <row r="34" spans="1:10" ht="17">
      <c r="A34" s="30"/>
      <c r="B34" s="130"/>
      <c r="C34" s="256" t="s">
        <v>4886</v>
      </c>
      <c r="D34" s="247"/>
      <c r="E34" s="130"/>
      <c r="F34" s="130"/>
      <c r="G34" s="130"/>
      <c r="H34" s="130"/>
      <c r="I34" s="130"/>
      <c r="J34" s="130"/>
    </row>
    <row r="35" spans="1:10" ht="17">
      <c r="A35" s="30"/>
      <c r="B35" s="130"/>
      <c r="C35" s="256"/>
      <c r="D35" s="248"/>
      <c r="E35" s="130"/>
      <c r="F35" s="130"/>
      <c r="G35" s="130"/>
      <c r="H35" s="130"/>
      <c r="I35" s="130"/>
      <c r="J35" s="130"/>
    </row>
    <row r="36" spans="1:10" ht="17">
      <c r="A36" s="30"/>
      <c r="B36" s="130"/>
      <c r="C36" s="249" t="s">
        <v>4880</v>
      </c>
      <c r="D36" s="250"/>
      <c r="E36" s="130"/>
      <c r="F36" s="130"/>
      <c r="G36" s="130"/>
      <c r="H36" s="130"/>
      <c r="I36" s="130"/>
      <c r="J36" s="130"/>
    </row>
    <row r="37" spans="1:10" ht="17">
      <c r="A37" s="30"/>
      <c r="B37" s="130"/>
      <c r="C37" s="257"/>
      <c r="D37" s="130"/>
      <c r="E37" s="130"/>
      <c r="F37" s="130"/>
      <c r="G37" s="130"/>
      <c r="H37" s="130"/>
      <c r="I37" s="130"/>
      <c r="J37" s="130"/>
    </row>
    <row r="38" spans="1:10" ht="17">
      <c r="A38" s="30"/>
      <c r="B38" s="241">
        <v>1.3</v>
      </c>
      <c r="C38" s="129" t="s">
        <v>4887</v>
      </c>
      <c r="D38" s="130"/>
      <c r="E38" s="130"/>
      <c r="F38" s="130"/>
      <c r="G38" s="130"/>
      <c r="H38" s="130"/>
      <c r="I38" s="130"/>
      <c r="J38" s="130"/>
    </row>
    <row r="39" spans="1:10" ht="17">
      <c r="A39" s="30"/>
      <c r="B39" s="130"/>
      <c r="C39" s="130" t="s">
        <v>4888</v>
      </c>
      <c r="D39" s="130"/>
      <c r="E39" s="130"/>
      <c r="F39" s="130"/>
      <c r="G39" s="130"/>
      <c r="H39" s="130"/>
      <c r="I39" s="130"/>
      <c r="J39" s="130"/>
    </row>
    <row r="40" spans="1:10" ht="17">
      <c r="A40" s="30"/>
      <c r="B40" s="130"/>
      <c r="C40" s="244" t="s">
        <v>47</v>
      </c>
      <c r="D40" s="258" t="s">
        <v>2587</v>
      </c>
      <c r="E40" s="245" t="s">
        <v>2588</v>
      </c>
      <c r="F40" s="130"/>
      <c r="G40" s="130"/>
      <c r="H40" s="130"/>
      <c r="I40" s="130"/>
      <c r="J40" s="130"/>
    </row>
    <row r="41" spans="1:10" ht="17">
      <c r="A41" s="30"/>
      <c r="B41" s="130"/>
      <c r="C41" s="246" t="s">
        <v>4411</v>
      </c>
      <c r="D41" s="259"/>
      <c r="E41" s="247"/>
      <c r="F41" s="130"/>
      <c r="G41" s="130"/>
      <c r="H41" s="130"/>
      <c r="I41" s="130"/>
      <c r="J41" s="130"/>
    </row>
    <row r="42" spans="1:10" ht="17">
      <c r="A42" s="30"/>
      <c r="B42" s="130"/>
      <c r="C42" s="246" t="s">
        <v>4412</v>
      </c>
      <c r="D42" s="259"/>
      <c r="E42" s="247"/>
      <c r="F42" s="130"/>
      <c r="G42" s="130"/>
      <c r="H42" s="130"/>
      <c r="I42" s="130"/>
      <c r="J42" s="130"/>
    </row>
    <row r="43" spans="1:10" ht="17">
      <c r="A43" s="30"/>
      <c r="B43" s="130"/>
      <c r="C43" s="246" t="s">
        <v>4413</v>
      </c>
      <c r="D43" s="259"/>
      <c r="E43" s="247"/>
      <c r="F43" s="130"/>
      <c r="G43" s="130"/>
      <c r="H43" s="130"/>
      <c r="I43" s="130"/>
      <c r="J43" s="130"/>
    </row>
    <row r="44" spans="1:10" ht="17">
      <c r="A44" s="30"/>
      <c r="B44" s="130"/>
      <c r="C44" s="246" t="s">
        <v>4414</v>
      </c>
      <c r="D44" s="259"/>
      <c r="E44" s="247"/>
      <c r="F44" s="130"/>
      <c r="G44" s="130"/>
      <c r="H44" s="130"/>
      <c r="I44" s="130"/>
      <c r="J44" s="130"/>
    </row>
    <row r="45" spans="1:10" ht="17">
      <c r="A45" s="30"/>
      <c r="B45" s="130"/>
      <c r="C45" s="246" t="s">
        <v>4415</v>
      </c>
      <c r="D45" s="259"/>
      <c r="E45" s="247"/>
      <c r="F45" s="130"/>
      <c r="G45" s="130"/>
      <c r="H45" s="130"/>
      <c r="I45" s="130"/>
      <c r="J45" s="130"/>
    </row>
    <row r="46" spans="1:10" ht="17">
      <c r="A46" s="30"/>
      <c r="B46" s="130"/>
      <c r="C46" s="246" t="s">
        <v>4416</v>
      </c>
      <c r="D46" s="259"/>
      <c r="E46" s="247"/>
      <c r="F46" s="130"/>
      <c r="G46" s="130"/>
      <c r="H46" s="130"/>
      <c r="I46" s="130"/>
      <c r="J46" s="130"/>
    </row>
    <row r="47" spans="1:10" ht="17">
      <c r="A47" s="30"/>
      <c r="B47" s="130"/>
      <c r="C47" s="246" t="s">
        <v>4417</v>
      </c>
      <c r="D47" s="259"/>
      <c r="E47" s="247"/>
      <c r="F47" s="130"/>
      <c r="G47" s="130"/>
      <c r="H47" s="130"/>
      <c r="I47" s="130"/>
      <c r="J47" s="130"/>
    </row>
    <row r="48" spans="1:10" ht="17">
      <c r="A48" s="30"/>
      <c r="B48" s="130"/>
      <c r="C48" s="246" t="s">
        <v>4418</v>
      </c>
      <c r="D48" s="259"/>
      <c r="E48" s="247"/>
      <c r="F48" s="130"/>
      <c r="G48" s="130"/>
      <c r="H48" s="130"/>
      <c r="I48" s="130"/>
      <c r="J48" s="130"/>
    </row>
    <row r="49" spans="1:10" ht="17">
      <c r="A49" s="30"/>
      <c r="B49" s="130"/>
      <c r="C49" s="246" t="s">
        <v>4419</v>
      </c>
      <c r="D49" s="260"/>
      <c r="E49" s="248"/>
      <c r="F49" s="130"/>
      <c r="G49" s="130"/>
      <c r="H49" s="130"/>
      <c r="I49" s="130"/>
      <c r="J49" s="130"/>
    </row>
    <row r="50" spans="1:10" ht="17">
      <c r="A50" s="30"/>
      <c r="B50" s="130"/>
      <c r="C50" s="246" t="s">
        <v>4889</v>
      </c>
      <c r="D50" s="261"/>
      <c r="E50" s="250"/>
      <c r="F50" s="130"/>
      <c r="G50" s="130"/>
      <c r="H50" s="130"/>
      <c r="I50" s="130"/>
      <c r="J50" s="130"/>
    </row>
    <row r="51" spans="1:10" ht="26">
      <c r="A51" s="30"/>
      <c r="B51" s="130"/>
      <c r="C51" s="262" t="s">
        <v>4890</v>
      </c>
      <c r="D51" s="263"/>
      <c r="E51" s="264"/>
      <c r="F51" s="130"/>
      <c r="G51" s="130"/>
      <c r="H51" s="130"/>
      <c r="I51" s="130"/>
      <c r="J51" s="130"/>
    </row>
    <row r="52" spans="1:10" ht="17">
      <c r="A52" s="30"/>
      <c r="B52" s="130"/>
      <c r="C52" s="130"/>
      <c r="D52" s="130"/>
      <c r="E52" s="130"/>
      <c r="F52" s="130"/>
      <c r="G52" s="130"/>
      <c r="H52" s="130"/>
      <c r="I52" s="130"/>
      <c r="J52" s="130"/>
    </row>
    <row r="53" spans="1:10" ht="17">
      <c r="A53" s="30"/>
      <c r="B53" s="240" t="s">
        <v>4891</v>
      </c>
      <c r="C53" s="265" t="s">
        <v>4892</v>
      </c>
      <c r="D53" s="130"/>
      <c r="E53" s="130"/>
      <c r="F53" s="130"/>
      <c r="G53" s="130"/>
      <c r="H53" s="130"/>
      <c r="I53" s="130"/>
      <c r="J53" s="130"/>
    </row>
    <row r="54" spans="1:10" ht="17">
      <c r="A54" s="30"/>
      <c r="B54" s="130"/>
      <c r="C54" s="238" t="s">
        <v>4877</v>
      </c>
      <c r="D54" s="238"/>
      <c r="E54" s="130"/>
      <c r="F54" s="130"/>
      <c r="G54" s="130"/>
      <c r="H54" s="130"/>
      <c r="I54" s="130"/>
      <c r="J54" s="130"/>
    </row>
    <row r="55" spans="1:10" ht="17">
      <c r="A55" s="30"/>
      <c r="B55" s="130"/>
      <c r="C55" s="242" t="s">
        <v>2270</v>
      </c>
      <c r="D55" s="243"/>
      <c r="E55" s="130"/>
      <c r="F55" s="130"/>
      <c r="G55" s="130"/>
      <c r="H55" s="130"/>
      <c r="I55" s="130"/>
      <c r="J55" s="130"/>
    </row>
    <row r="56" spans="1:10" ht="17">
      <c r="A56" s="30"/>
      <c r="B56" s="130"/>
      <c r="C56" s="238" t="s">
        <v>4893</v>
      </c>
      <c r="D56" s="238"/>
      <c r="E56" s="130"/>
      <c r="F56" s="130"/>
      <c r="G56" s="130"/>
      <c r="H56" s="130"/>
      <c r="I56" s="130"/>
      <c r="J56" s="130"/>
    </row>
    <row r="57" spans="1:10" ht="17">
      <c r="A57" s="30"/>
      <c r="B57" s="130"/>
      <c r="C57" s="244" t="s">
        <v>47</v>
      </c>
      <c r="D57" s="258" t="s">
        <v>4894</v>
      </c>
      <c r="E57" s="245" t="s">
        <v>4895</v>
      </c>
      <c r="F57" s="130"/>
      <c r="G57" s="130"/>
      <c r="H57" s="130"/>
      <c r="I57" s="130"/>
      <c r="J57" s="130"/>
    </row>
    <row r="58" spans="1:10" ht="17">
      <c r="A58" s="30"/>
      <c r="B58" s="130"/>
      <c r="C58" s="246" t="s">
        <v>4896</v>
      </c>
      <c r="D58" s="259"/>
      <c r="E58" s="247"/>
      <c r="F58" s="130"/>
      <c r="G58" s="130"/>
      <c r="H58" s="130"/>
      <c r="I58" s="130"/>
      <c r="J58" s="130"/>
    </row>
    <row r="59" spans="1:10" ht="17">
      <c r="A59" s="30"/>
      <c r="B59" s="130"/>
      <c r="C59" s="266" t="s">
        <v>42</v>
      </c>
      <c r="D59" s="259"/>
      <c r="E59" s="247"/>
      <c r="F59" s="130"/>
      <c r="G59" s="130"/>
      <c r="H59" s="130"/>
      <c r="I59" s="130"/>
      <c r="J59" s="130"/>
    </row>
    <row r="60" spans="1:10" ht="17">
      <c r="A60" s="30"/>
      <c r="B60" s="130"/>
      <c r="C60" s="266" t="s">
        <v>66</v>
      </c>
      <c r="D60" s="259"/>
      <c r="E60" s="247"/>
      <c r="F60" s="130"/>
      <c r="G60" s="130"/>
      <c r="H60" s="130"/>
      <c r="I60" s="130"/>
      <c r="J60" s="130"/>
    </row>
    <row r="61" spans="1:10" ht="17">
      <c r="A61" s="30"/>
      <c r="B61" s="130"/>
      <c r="C61" s="266" t="s">
        <v>85</v>
      </c>
      <c r="D61" s="260"/>
      <c r="E61" s="248"/>
      <c r="F61" s="130"/>
      <c r="G61" s="130"/>
      <c r="H61" s="130"/>
      <c r="I61" s="130"/>
      <c r="J61" s="130"/>
    </row>
    <row r="62" spans="1:10" ht="17">
      <c r="A62" s="30"/>
      <c r="B62" s="130"/>
      <c r="C62" s="267" t="s">
        <v>4897</v>
      </c>
      <c r="D62" s="261"/>
      <c r="E62" s="250"/>
      <c r="F62" s="130"/>
      <c r="G62" s="130"/>
      <c r="H62" s="130"/>
      <c r="I62" s="130"/>
      <c r="J62" s="130"/>
    </row>
    <row r="63" spans="1:10" ht="17">
      <c r="A63" s="30"/>
      <c r="B63" s="130"/>
      <c r="C63" s="246" t="s">
        <v>4898</v>
      </c>
      <c r="D63" s="268"/>
      <c r="E63" s="269"/>
      <c r="F63" s="130"/>
      <c r="G63" s="130"/>
      <c r="H63" s="130"/>
      <c r="I63" s="130"/>
      <c r="J63" s="130"/>
    </row>
    <row r="64" spans="1:10" ht="17">
      <c r="A64" s="30"/>
      <c r="B64" s="130"/>
      <c r="C64" s="266" t="s">
        <v>4899</v>
      </c>
      <c r="D64" s="259"/>
      <c r="E64" s="247"/>
      <c r="F64" s="130"/>
      <c r="G64" s="130"/>
      <c r="H64" s="130"/>
      <c r="I64" s="130"/>
      <c r="J64" s="130"/>
    </row>
    <row r="65" spans="1:10" ht="17">
      <c r="A65" s="30"/>
      <c r="B65" s="130"/>
      <c r="C65" s="266" t="s">
        <v>4900</v>
      </c>
      <c r="D65" s="259"/>
      <c r="E65" s="247"/>
      <c r="F65" s="130"/>
      <c r="G65" s="130"/>
      <c r="H65" s="130"/>
      <c r="I65" s="130"/>
      <c r="J65" s="130"/>
    </row>
    <row r="66" spans="1:10" ht="17">
      <c r="A66" s="30"/>
      <c r="B66" s="130"/>
      <c r="C66" s="266" t="s">
        <v>4901</v>
      </c>
      <c r="D66" s="259"/>
      <c r="E66" s="247"/>
      <c r="F66" s="130"/>
      <c r="G66" s="130"/>
      <c r="H66" s="130"/>
      <c r="I66" s="130"/>
      <c r="J66" s="130"/>
    </row>
    <row r="67" spans="1:10" ht="17">
      <c r="A67" s="30"/>
      <c r="B67" s="130"/>
      <c r="C67" s="267" t="s">
        <v>4897</v>
      </c>
      <c r="D67" s="260"/>
      <c r="E67" s="248"/>
      <c r="F67" s="130"/>
      <c r="G67" s="130"/>
      <c r="H67" s="130"/>
      <c r="I67" s="130"/>
      <c r="J67" s="130"/>
    </row>
    <row r="68" spans="1:10" ht="17">
      <c r="A68" s="30"/>
      <c r="B68" s="130"/>
      <c r="C68" s="271" t="s">
        <v>4902</v>
      </c>
      <c r="D68" s="261"/>
      <c r="E68" s="250"/>
      <c r="F68" s="130"/>
      <c r="G68" s="130"/>
      <c r="H68" s="130"/>
      <c r="I68" s="130"/>
      <c r="J68" s="130"/>
    </row>
    <row r="69" spans="1:10" ht="17">
      <c r="A69" s="30"/>
      <c r="B69" s="130"/>
      <c r="C69" s="130"/>
      <c r="D69" s="130"/>
      <c r="E69" s="130"/>
      <c r="F69" s="130"/>
      <c r="G69" s="130"/>
      <c r="H69" s="130"/>
      <c r="I69" s="130"/>
      <c r="J69" s="130"/>
    </row>
    <row r="70" spans="1:10" ht="17">
      <c r="A70" s="30"/>
      <c r="B70" s="130"/>
      <c r="C70" s="129" t="s">
        <v>4903</v>
      </c>
      <c r="D70" s="130"/>
      <c r="E70" s="130"/>
      <c r="F70" s="130"/>
      <c r="G70" s="130"/>
      <c r="H70" s="130"/>
      <c r="I70" s="130"/>
      <c r="J70" s="130"/>
    </row>
    <row r="71" spans="1:10" ht="17">
      <c r="A71" s="30"/>
      <c r="B71" s="130"/>
      <c r="C71" s="130" t="s">
        <v>4904</v>
      </c>
      <c r="D71" s="272"/>
      <c r="E71" s="130"/>
      <c r="F71" s="130"/>
      <c r="G71" s="130"/>
      <c r="H71" s="130"/>
      <c r="I71" s="130"/>
      <c r="J71" s="130"/>
    </row>
    <row r="72" spans="1:10" ht="17">
      <c r="A72" s="30"/>
      <c r="B72" s="130"/>
      <c r="C72" s="130" t="s">
        <v>4905</v>
      </c>
      <c r="D72" s="272"/>
      <c r="E72" s="130"/>
      <c r="F72" s="130"/>
      <c r="G72" s="130"/>
      <c r="H72" s="130"/>
      <c r="I72" s="130"/>
      <c r="J72" s="130"/>
    </row>
    <row r="73" spans="1:10" ht="17">
      <c r="A73" s="30"/>
      <c r="B73" s="130"/>
      <c r="C73" s="130" t="s">
        <v>4906</v>
      </c>
      <c r="D73" s="273"/>
      <c r="E73" s="130"/>
      <c r="F73" s="130"/>
      <c r="G73" s="130"/>
      <c r="H73" s="130"/>
      <c r="I73" s="130"/>
      <c r="J73" s="130"/>
    </row>
    <row r="74" spans="1:10" ht="17">
      <c r="A74" s="30"/>
      <c r="B74" s="130"/>
      <c r="C74" s="130"/>
      <c r="D74" s="130"/>
      <c r="E74" s="130"/>
      <c r="F74" s="130"/>
      <c r="G74" s="130"/>
      <c r="H74" s="130"/>
      <c r="I74" s="130"/>
      <c r="J74" s="130"/>
    </row>
    <row r="75" spans="1:10" ht="17">
      <c r="A75" s="30"/>
      <c r="B75" s="240" t="s">
        <v>4907</v>
      </c>
      <c r="C75" s="129" t="s">
        <v>4908</v>
      </c>
      <c r="D75" s="130"/>
      <c r="E75" s="130"/>
      <c r="F75" s="130"/>
      <c r="G75" s="130"/>
      <c r="H75" s="130"/>
      <c r="I75" s="130"/>
      <c r="J75" s="130"/>
    </row>
    <row r="76" spans="1:10" ht="17">
      <c r="A76" s="30"/>
      <c r="B76" s="130"/>
      <c r="C76" s="238" t="s">
        <v>4877</v>
      </c>
      <c r="D76" s="238"/>
      <c r="E76" s="130"/>
      <c r="F76" s="130"/>
      <c r="G76" s="130"/>
      <c r="H76" s="130"/>
      <c r="I76" s="130"/>
      <c r="J76" s="130"/>
    </row>
    <row r="77" spans="1:10" ht="17">
      <c r="A77" s="30"/>
      <c r="B77" s="130"/>
      <c r="C77" s="242" t="s">
        <v>2268</v>
      </c>
      <c r="D77" s="274"/>
      <c r="E77" s="275"/>
      <c r="F77" s="130"/>
      <c r="G77" s="130"/>
      <c r="H77" s="130"/>
      <c r="I77" s="130"/>
      <c r="J77" s="130"/>
    </row>
    <row r="78" spans="1:10" ht="17">
      <c r="A78" s="30"/>
      <c r="B78" s="130"/>
      <c r="C78" s="238" t="s">
        <v>4893</v>
      </c>
      <c r="D78" s="238"/>
      <c r="E78" s="130"/>
      <c r="F78" s="130"/>
      <c r="G78" s="130"/>
      <c r="H78" s="130"/>
      <c r="I78" s="130"/>
      <c r="J78" s="130"/>
    </row>
    <row r="79" spans="1:10" ht="17">
      <c r="A79" s="30"/>
      <c r="B79" s="130"/>
      <c r="C79" s="276" t="s">
        <v>47</v>
      </c>
      <c r="D79" s="244"/>
      <c r="E79" s="245" t="s">
        <v>4909</v>
      </c>
      <c r="F79" s="130"/>
      <c r="G79" s="130"/>
      <c r="H79" s="130"/>
      <c r="I79" s="130"/>
      <c r="J79" s="130"/>
    </row>
    <row r="80" spans="1:10" ht="17">
      <c r="A80" s="30"/>
      <c r="B80" s="130"/>
      <c r="C80" s="277" t="s">
        <v>4910</v>
      </c>
      <c r="D80" s="278"/>
      <c r="E80" s="247"/>
      <c r="F80" s="130"/>
      <c r="G80" s="130"/>
      <c r="H80" s="130"/>
      <c r="I80" s="130"/>
      <c r="J80" s="130"/>
    </row>
    <row r="81" spans="1:10" ht="17">
      <c r="A81" s="30"/>
      <c r="B81" s="130"/>
      <c r="C81" s="277" t="s">
        <v>4911</v>
      </c>
      <c r="D81" s="278"/>
      <c r="E81" s="247"/>
      <c r="F81" s="130"/>
      <c r="G81" s="130"/>
      <c r="H81" s="130"/>
      <c r="I81" s="130"/>
      <c r="J81" s="130"/>
    </row>
    <row r="82" spans="1:10" ht="17">
      <c r="A82" s="30"/>
      <c r="B82" s="130"/>
      <c r="C82" s="277" t="s">
        <v>4912</v>
      </c>
      <c r="D82" s="278"/>
      <c r="E82" s="247"/>
      <c r="F82" s="130"/>
      <c r="G82" s="130"/>
      <c r="H82" s="130"/>
      <c r="I82" s="130"/>
      <c r="J82" s="130"/>
    </row>
    <row r="83" spans="1:10" ht="17">
      <c r="A83" s="30"/>
      <c r="B83" s="130"/>
      <c r="C83" s="279"/>
      <c r="D83" s="278"/>
      <c r="E83" s="248"/>
      <c r="F83" s="130"/>
      <c r="G83" s="130"/>
      <c r="H83" s="130"/>
      <c r="I83" s="130"/>
      <c r="J83" s="130"/>
    </row>
    <row r="84" spans="1:10" ht="17">
      <c r="A84" s="30"/>
      <c r="B84" s="130"/>
      <c r="C84" s="280" t="s">
        <v>4880</v>
      </c>
      <c r="D84" s="281"/>
      <c r="E84" s="250"/>
      <c r="F84" s="130"/>
      <c r="G84" s="130"/>
      <c r="H84" s="130"/>
      <c r="I84" s="130"/>
      <c r="J84" s="130"/>
    </row>
    <row r="85" spans="1:10" ht="17">
      <c r="A85" s="30"/>
      <c r="B85" s="130"/>
      <c r="C85" s="282" t="s">
        <v>4913</v>
      </c>
      <c r="D85" s="272"/>
      <c r="E85" s="272"/>
      <c r="F85" s="130"/>
      <c r="G85" s="130"/>
      <c r="H85" s="130"/>
      <c r="I85" s="130"/>
      <c r="J85" s="130"/>
    </row>
    <row r="86" spans="1:10" ht="17">
      <c r="A86" s="30"/>
      <c r="B86" s="130"/>
      <c r="C86" s="282" t="s">
        <v>4914</v>
      </c>
      <c r="D86" s="272"/>
      <c r="E86" s="283"/>
      <c r="F86" s="130"/>
      <c r="G86" s="130"/>
      <c r="H86" s="130"/>
      <c r="I86" s="130"/>
      <c r="J86" s="130"/>
    </row>
    <row r="87" spans="1:10" ht="17">
      <c r="A87" s="30"/>
      <c r="B87" s="130"/>
      <c r="C87" s="130"/>
      <c r="D87" s="272"/>
      <c r="E87" s="272"/>
      <c r="F87" s="130"/>
      <c r="G87" s="130"/>
      <c r="H87" s="130"/>
      <c r="I87" s="130"/>
      <c r="J87" s="130"/>
    </row>
    <row r="88" spans="1:10" ht="17">
      <c r="A88" s="30"/>
      <c r="B88" s="240" t="s">
        <v>4915</v>
      </c>
      <c r="C88" s="129" t="s">
        <v>4916</v>
      </c>
      <c r="D88" s="130"/>
      <c r="E88" s="130"/>
      <c r="F88" s="130"/>
      <c r="G88" s="130"/>
      <c r="H88" s="130"/>
      <c r="I88" s="130"/>
      <c r="J88" s="130"/>
    </row>
    <row r="89" spans="1:10" ht="17">
      <c r="A89" s="30"/>
      <c r="B89" s="130"/>
      <c r="C89" s="238" t="s">
        <v>4877</v>
      </c>
      <c r="D89" s="238"/>
      <c r="E89" s="130"/>
      <c r="F89" s="130"/>
      <c r="G89" s="130"/>
      <c r="H89" s="130"/>
      <c r="I89" s="130"/>
      <c r="J89" s="130"/>
    </row>
    <row r="90" spans="1:10" ht="17">
      <c r="A90" s="30"/>
      <c r="B90" s="130"/>
      <c r="C90" s="242" t="s">
        <v>4917</v>
      </c>
      <c r="D90" s="274"/>
      <c r="E90" s="275"/>
      <c r="F90" s="130"/>
      <c r="G90" s="130"/>
      <c r="H90" s="130"/>
      <c r="I90" s="130"/>
      <c r="J90" s="130"/>
    </row>
    <row r="91" spans="1:10" ht="17">
      <c r="A91" s="30"/>
      <c r="B91" s="130"/>
      <c r="C91" s="130"/>
      <c r="D91" s="272"/>
      <c r="E91" s="272"/>
      <c r="F91" s="130"/>
      <c r="G91" s="130"/>
      <c r="H91" s="130"/>
      <c r="I91" s="130"/>
      <c r="J91" s="130"/>
    </row>
    <row r="92" spans="1:10" ht="17">
      <c r="A92" s="30"/>
      <c r="B92" s="130"/>
      <c r="C92" s="130"/>
      <c r="D92" s="272"/>
      <c r="E92" s="272"/>
      <c r="F92" s="130"/>
      <c r="G92" s="130"/>
      <c r="H92" s="130"/>
      <c r="I92" s="130"/>
      <c r="J92" s="130"/>
    </row>
    <row r="93" spans="1:10" ht="17">
      <c r="A93" s="30"/>
      <c r="B93" s="130"/>
      <c r="C93" s="130"/>
      <c r="D93" s="272"/>
      <c r="E93" s="272"/>
      <c r="F93" s="130"/>
      <c r="G93" s="130"/>
      <c r="H93" s="130"/>
      <c r="I93" s="130"/>
      <c r="J93" s="130"/>
    </row>
    <row r="94" spans="1:10" ht="17">
      <c r="A94" s="30"/>
      <c r="B94" s="130"/>
      <c r="C94" s="130"/>
      <c r="D94" s="272"/>
      <c r="E94" s="272"/>
      <c r="F94" s="130"/>
      <c r="G94" s="130"/>
      <c r="H94" s="130"/>
      <c r="I94" s="130"/>
      <c r="J94" s="130"/>
    </row>
    <row r="95" spans="1:10" ht="17">
      <c r="A95" s="30"/>
      <c r="B95" s="240" t="s">
        <v>4918</v>
      </c>
      <c r="C95" s="129" t="s">
        <v>4919</v>
      </c>
      <c r="D95" s="130"/>
      <c r="E95" s="130"/>
      <c r="F95" s="130"/>
      <c r="G95" s="130"/>
      <c r="H95" s="130"/>
      <c r="I95" s="130"/>
      <c r="J95" s="130"/>
    </row>
    <row r="96" spans="1:10" ht="17">
      <c r="A96" s="30"/>
      <c r="B96" s="130"/>
      <c r="C96" s="238" t="s">
        <v>4877</v>
      </c>
      <c r="D96" s="238"/>
      <c r="E96" s="130"/>
      <c r="F96" s="130"/>
      <c r="G96" s="130"/>
      <c r="H96" s="130"/>
      <c r="I96" s="130"/>
      <c r="J96" s="130"/>
    </row>
    <row r="97" spans="1:10" ht="17">
      <c r="A97" s="30"/>
      <c r="B97" s="130"/>
      <c r="C97" s="242" t="s">
        <v>4920</v>
      </c>
      <c r="D97" s="274"/>
      <c r="E97" s="275"/>
      <c r="F97" s="130"/>
      <c r="G97" s="130"/>
      <c r="H97" s="130"/>
      <c r="I97" s="130"/>
      <c r="J97" s="130"/>
    </row>
    <row r="98" spans="1:10" ht="17">
      <c r="A98" s="30"/>
      <c r="B98" s="130"/>
      <c r="C98" s="130"/>
      <c r="D98" s="272"/>
      <c r="E98" s="272"/>
      <c r="F98" s="130"/>
      <c r="G98" s="130"/>
      <c r="H98" s="130"/>
      <c r="I98" s="130"/>
      <c r="J98" s="130"/>
    </row>
    <row r="99" spans="1:10" ht="17">
      <c r="A99" s="30"/>
      <c r="B99" s="130"/>
      <c r="C99" s="130"/>
      <c r="D99" s="272"/>
      <c r="E99" s="272"/>
      <c r="F99" s="130"/>
      <c r="G99" s="130"/>
      <c r="H99" s="130"/>
      <c r="I99" s="130"/>
      <c r="J99" s="130"/>
    </row>
    <row r="100" spans="1:10" ht="17">
      <c r="A100" s="30"/>
      <c r="B100" s="130"/>
      <c r="C100" s="130"/>
      <c r="D100" s="272"/>
      <c r="E100" s="272"/>
      <c r="F100" s="130"/>
      <c r="G100" s="130"/>
      <c r="H100" s="130"/>
      <c r="I100" s="130"/>
      <c r="J100" s="130"/>
    </row>
    <row r="101" spans="1:10" ht="17">
      <c r="A101" s="30"/>
      <c r="B101" s="130"/>
      <c r="C101" s="130"/>
      <c r="D101" s="272"/>
      <c r="E101" s="272"/>
      <c r="F101" s="130"/>
      <c r="G101" s="130"/>
      <c r="H101" s="130"/>
      <c r="I101" s="130"/>
      <c r="J101" s="130"/>
    </row>
    <row r="102" spans="1:10" ht="17">
      <c r="A102" s="30"/>
      <c r="B102" s="130"/>
      <c r="C102" s="130"/>
      <c r="D102" s="272"/>
      <c r="E102" s="272"/>
      <c r="F102" s="130"/>
      <c r="G102" s="130"/>
      <c r="H102" s="130"/>
      <c r="I102" s="130"/>
      <c r="J102" s="130"/>
    </row>
    <row r="103" spans="1:10" ht="17">
      <c r="A103" s="30"/>
      <c r="B103" s="130"/>
      <c r="C103" s="130"/>
      <c r="D103" s="272"/>
      <c r="E103" s="272"/>
      <c r="F103" s="130"/>
      <c r="G103" s="130"/>
      <c r="H103" s="130"/>
      <c r="I103" s="130"/>
      <c r="J103" s="130"/>
    </row>
    <row r="104" spans="1:10" ht="17">
      <c r="A104" s="30"/>
      <c r="B104" s="240" t="s">
        <v>4921</v>
      </c>
      <c r="C104" s="129" t="s">
        <v>4922</v>
      </c>
      <c r="D104" s="130"/>
      <c r="E104" s="130"/>
      <c r="F104" s="130"/>
      <c r="G104" s="130"/>
      <c r="H104" s="130"/>
      <c r="I104" s="130"/>
      <c r="J104" s="130"/>
    </row>
    <row r="105" spans="1:10" ht="17">
      <c r="A105" s="30"/>
      <c r="B105" s="130"/>
      <c r="C105" s="238" t="s">
        <v>4877</v>
      </c>
      <c r="D105" s="238"/>
      <c r="E105" s="130"/>
      <c r="F105" s="130"/>
      <c r="G105" s="130"/>
      <c r="H105" s="130"/>
      <c r="I105" s="130"/>
      <c r="J105" s="130"/>
    </row>
    <row r="106" spans="1:10" ht="17">
      <c r="A106" s="30"/>
      <c r="B106" s="130"/>
      <c r="C106" s="242" t="s">
        <v>4923</v>
      </c>
      <c r="D106" s="274"/>
      <c r="E106" s="275"/>
      <c r="F106" s="130"/>
      <c r="G106" s="130"/>
      <c r="H106" s="130"/>
      <c r="I106" s="130"/>
      <c r="J106" s="130"/>
    </row>
    <row r="107" spans="1:10" ht="17">
      <c r="A107" s="30"/>
      <c r="B107" s="130"/>
      <c r="C107" s="238" t="s">
        <v>4924</v>
      </c>
      <c r="D107" s="272"/>
      <c r="E107" s="284"/>
      <c r="F107" s="130"/>
      <c r="G107" s="130"/>
      <c r="H107" s="130"/>
      <c r="I107" s="130"/>
      <c r="J107" s="130"/>
    </row>
    <row r="108" spans="1:10" ht="17">
      <c r="A108" s="30"/>
      <c r="B108" s="130"/>
      <c r="C108" s="130"/>
      <c r="D108" s="272"/>
      <c r="E108" s="272"/>
      <c r="F108" s="130"/>
      <c r="G108" s="130"/>
      <c r="H108" s="130"/>
      <c r="I108" s="130"/>
      <c r="J108" s="130"/>
    </row>
    <row r="109" spans="1:10" ht="17">
      <c r="A109" s="30"/>
      <c r="B109" s="130"/>
      <c r="C109" s="130"/>
      <c r="D109" s="272"/>
      <c r="E109" s="272"/>
      <c r="F109" s="130"/>
      <c r="G109" s="130"/>
      <c r="H109" s="130"/>
      <c r="I109" s="130"/>
      <c r="J109" s="130"/>
    </row>
    <row r="110" spans="1:10" ht="17">
      <c r="A110" s="30"/>
      <c r="B110" s="130"/>
      <c r="C110" s="130"/>
      <c r="D110" s="272"/>
      <c r="E110" s="272"/>
      <c r="F110" s="130"/>
      <c r="G110" s="130"/>
      <c r="H110" s="130"/>
      <c r="I110" s="130"/>
      <c r="J110" s="130"/>
    </row>
    <row r="111" spans="1:10" ht="17">
      <c r="A111" s="30"/>
      <c r="B111" s="130"/>
      <c r="C111" s="130"/>
      <c r="D111" s="272"/>
      <c r="E111" s="272"/>
      <c r="F111" s="130"/>
      <c r="G111" s="130"/>
      <c r="H111" s="130"/>
      <c r="I111" s="130"/>
      <c r="J111" s="130"/>
    </row>
    <row r="112" spans="1:10" ht="17">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09765625" defaultRowHeight="13"/>
  <cols>
    <col min="1" max="1" width="5.09765625" style="1" customWidth="1"/>
    <col min="2" max="2" width="6.296875" style="1" customWidth="1"/>
    <col min="3" max="3" width="35" style="1" customWidth="1"/>
    <col min="4" max="7" width="13.69921875" style="1" customWidth="1"/>
    <col min="8" max="9" width="8.69921875" style="1" customWidth="1"/>
    <col min="10" max="16384" width="9.09765625" style="1"/>
  </cols>
  <sheetData>
    <row r="2" spans="1:9" ht="18" customHeight="1">
      <c r="B2" s="2" t="s">
        <v>2520</v>
      </c>
      <c r="C2" s="3" t="str">
        <f>IF(Lead!$C$5="","",Lead!$C$5)</f>
        <v>余江县天骏投资管理有限公司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43864</v>
      </c>
      <c r="H3" s="14" t="s">
        <v>6596</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7">
      <c r="A7" s="30"/>
      <c r="B7" s="177" t="s">
        <v>4864</v>
      </c>
      <c r="C7" s="178"/>
      <c r="D7" s="179"/>
      <c r="E7" s="179"/>
      <c r="F7" s="179"/>
      <c r="G7" s="179"/>
      <c r="H7" s="179"/>
      <c r="I7" s="179"/>
    </row>
    <row r="8" spans="1:9" ht="17">
      <c r="A8" s="30"/>
      <c r="B8" s="1458" t="s">
        <v>4865</v>
      </c>
      <c r="C8" s="180" t="s">
        <v>4926</v>
      </c>
      <c r="D8" s="179"/>
      <c r="E8" s="179"/>
      <c r="F8" s="179"/>
      <c r="G8" s="179"/>
      <c r="H8" s="179"/>
      <c r="I8" s="179"/>
    </row>
    <row r="9" spans="1:9" ht="17">
      <c r="A9" s="30"/>
      <c r="B9" s="1458" t="s">
        <v>4867</v>
      </c>
      <c r="C9" s="180" t="s">
        <v>4927</v>
      </c>
      <c r="D9" s="179"/>
      <c r="E9" s="179"/>
      <c r="F9" s="179"/>
      <c r="G9" s="179"/>
      <c r="H9" s="179"/>
      <c r="I9" s="179"/>
    </row>
    <row r="10" spans="1:9" ht="17">
      <c r="A10" s="30"/>
      <c r="B10" s="177" t="s">
        <v>4873</v>
      </c>
      <c r="C10" s="179"/>
      <c r="D10" s="179"/>
      <c r="E10" s="179"/>
      <c r="F10" s="179"/>
      <c r="G10" s="179"/>
      <c r="H10" s="179"/>
      <c r="I10" s="179"/>
    </row>
    <row r="11" spans="1:9" ht="17">
      <c r="A11" s="181"/>
      <c r="B11" s="179"/>
      <c r="C11" s="182"/>
      <c r="D11" s="179"/>
      <c r="E11" s="179"/>
      <c r="F11" s="179"/>
      <c r="G11" s="179"/>
      <c r="H11" s="179"/>
      <c r="I11" s="179"/>
    </row>
    <row r="12" spans="1:9" ht="17">
      <c r="A12" s="181"/>
      <c r="B12" s="178"/>
      <c r="C12" s="180" t="s">
        <v>4928</v>
      </c>
      <c r="D12" s="179"/>
      <c r="E12" s="179"/>
      <c r="F12" s="179"/>
      <c r="G12" s="179"/>
      <c r="H12" s="179"/>
      <c r="I12" s="179"/>
    </row>
    <row r="13" spans="1:9" ht="17">
      <c r="A13" s="181"/>
      <c r="B13" s="179"/>
      <c r="C13" s="183" t="s">
        <v>4929</v>
      </c>
      <c r="D13" s="179"/>
      <c r="E13" s="179"/>
      <c r="F13" s="179"/>
      <c r="G13" s="179"/>
      <c r="H13" s="179"/>
      <c r="I13" s="179"/>
    </row>
    <row r="14" spans="1:9" ht="17">
      <c r="A14" s="181"/>
      <c r="B14" s="179"/>
      <c r="C14" s="183" t="s">
        <v>4930</v>
      </c>
      <c r="D14" s="179"/>
      <c r="E14" s="179"/>
      <c r="F14" s="179"/>
      <c r="G14" s="179"/>
      <c r="H14" s="179"/>
      <c r="I14" s="179"/>
    </row>
    <row r="15" spans="1:9" ht="17">
      <c r="A15" s="181"/>
      <c r="B15" s="184">
        <v>1</v>
      </c>
      <c r="C15" s="185" t="s">
        <v>2276</v>
      </c>
      <c r="D15" s="186"/>
      <c r="E15" s="179"/>
      <c r="F15" s="179"/>
      <c r="G15" s="179"/>
      <c r="H15" s="179"/>
      <c r="I15" s="179"/>
    </row>
    <row r="16" spans="1:9" ht="17">
      <c r="A16" s="181"/>
      <c r="B16" s="184"/>
      <c r="C16" s="187" t="s">
        <v>4931</v>
      </c>
      <c r="D16" s="186"/>
      <c r="E16" s="179"/>
      <c r="F16" s="179"/>
      <c r="G16" s="179"/>
      <c r="H16" s="179"/>
      <c r="I16" s="179"/>
    </row>
    <row r="17" spans="1:9" ht="17">
      <c r="A17" s="181"/>
      <c r="B17" s="179"/>
      <c r="C17" s="188" t="s">
        <v>47</v>
      </c>
      <c r="D17" s="189" t="s">
        <v>2587</v>
      </c>
      <c r="E17" s="189" t="s">
        <v>4932</v>
      </c>
      <c r="F17" s="190" t="s">
        <v>2508</v>
      </c>
      <c r="G17" s="191"/>
      <c r="H17" s="191"/>
      <c r="I17" s="179"/>
    </row>
    <row r="18" spans="1:9" ht="17">
      <c r="A18" s="181"/>
      <c r="B18" s="179"/>
      <c r="C18" s="192" t="s">
        <v>697</v>
      </c>
      <c r="D18" s="193"/>
      <c r="E18" s="193"/>
      <c r="F18" s="194"/>
      <c r="G18" s="195"/>
      <c r="H18" s="195"/>
      <c r="I18" s="179"/>
    </row>
    <row r="19" spans="1:9" ht="17">
      <c r="A19" s="181"/>
      <c r="B19" s="179"/>
      <c r="C19" s="192"/>
      <c r="D19" s="196"/>
      <c r="E19" s="193"/>
      <c r="F19" s="194"/>
      <c r="G19" s="195"/>
      <c r="H19" s="195"/>
      <c r="I19" s="179"/>
    </row>
    <row r="20" spans="1:9" ht="17">
      <c r="A20" s="181"/>
      <c r="B20" s="179"/>
      <c r="C20" s="197" t="s">
        <v>4897</v>
      </c>
      <c r="D20" s="198"/>
      <c r="E20" s="199"/>
      <c r="F20" s="200"/>
      <c r="G20" s="201"/>
      <c r="H20" s="201"/>
      <c r="I20" s="179"/>
    </row>
    <row r="21" spans="1:9" ht="17">
      <c r="A21" s="181"/>
      <c r="B21" s="184"/>
      <c r="C21" s="185"/>
      <c r="D21" s="186"/>
      <c r="E21" s="179"/>
      <c r="F21" s="179"/>
      <c r="G21" s="179"/>
      <c r="H21" s="179"/>
      <c r="I21" s="179"/>
    </row>
    <row r="22" spans="1:9" ht="17">
      <c r="A22" s="181"/>
      <c r="B22" s="184"/>
      <c r="C22" s="187" t="s">
        <v>4933</v>
      </c>
      <c r="D22" s="186"/>
      <c r="E22" s="179"/>
      <c r="F22" s="179"/>
      <c r="G22" s="179"/>
      <c r="H22" s="179"/>
      <c r="I22" s="179"/>
    </row>
    <row r="23" spans="1:9" ht="17">
      <c r="A23" s="181"/>
      <c r="B23" s="179"/>
      <c r="C23" s="188" t="s">
        <v>47</v>
      </c>
      <c r="D23" s="189" t="s">
        <v>3276</v>
      </c>
      <c r="E23" s="189" t="s">
        <v>3273</v>
      </c>
      <c r="F23" s="189" t="s">
        <v>2587</v>
      </c>
      <c r="G23" s="189" t="s">
        <v>4932</v>
      </c>
      <c r="H23" s="190" t="s">
        <v>2508</v>
      </c>
      <c r="I23" s="179"/>
    </row>
    <row r="24" spans="1:9" ht="17">
      <c r="A24" s="181"/>
      <c r="B24" s="179"/>
      <c r="C24" s="192" t="s">
        <v>2862</v>
      </c>
      <c r="D24" s="193"/>
      <c r="E24" s="193"/>
      <c r="F24" s="193"/>
      <c r="G24" s="193"/>
      <c r="H24" s="194"/>
      <c r="I24" s="179"/>
    </row>
    <row r="25" spans="1:9" ht="17">
      <c r="A25" s="181"/>
      <c r="B25" s="179"/>
      <c r="C25" s="192" t="s">
        <v>354</v>
      </c>
      <c r="D25" s="193"/>
      <c r="E25" s="193"/>
      <c r="F25" s="193"/>
      <c r="G25" s="193"/>
      <c r="H25" s="194"/>
      <c r="I25" s="179"/>
    </row>
    <row r="26" spans="1:9" ht="17">
      <c r="A26" s="181"/>
      <c r="B26" s="179"/>
      <c r="C26" s="192" t="s">
        <v>416</v>
      </c>
      <c r="D26" s="193"/>
      <c r="E26" s="193"/>
      <c r="F26" s="193"/>
      <c r="G26" s="193"/>
      <c r="H26" s="194"/>
      <c r="I26" s="179"/>
    </row>
    <row r="27" spans="1:9" ht="17">
      <c r="A27" s="181"/>
      <c r="B27" s="179"/>
      <c r="C27" s="192" t="s">
        <v>402</v>
      </c>
      <c r="D27" s="193"/>
      <c r="E27" s="193"/>
      <c r="F27" s="193"/>
      <c r="G27" s="193"/>
      <c r="H27" s="194"/>
      <c r="I27" s="179"/>
    </row>
    <row r="28" spans="1:9" ht="17">
      <c r="A28" s="181"/>
      <c r="B28" s="179"/>
      <c r="C28" s="192" t="s">
        <v>445</v>
      </c>
      <c r="D28" s="193"/>
      <c r="E28" s="193"/>
      <c r="F28" s="193"/>
      <c r="G28" s="193"/>
      <c r="H28" s="194"/>
      <c r="I28" s="179"/>
    </row>
    <row r="29" spans="1:9" ht="17">
      <c r="A29" s="181"/>
      <c r="B29" s="179"/>
      <c r="C29" s="192" t="s">
        <v>460</v>
      </c>
      <c r="D29" s="193"/>
      <c r="E29" s="193"/>
      <c r="F29" s="193"/>
      <c r="G29" s="193"/>
      <c r="H29" s="194"/>
      <c r="I29" s="179"/>
    </row>
    <row r="30" spans="1:9" ht="17">
      <c r="A30" s="181"/>
      <c r="B30" s="179"/>
      <c r="C30" s="192" t="s">
        <v>491</v>
      </c>
      <c r="D30" s="193"/>
      <c r="E30" s="193"/>
      <c r="F30" s="193"/>
      <c r="G30" s="193"/>
      <c r="H30" s="194"/>
      <c r="I30" s="179"/>
    </row>
    <row r="31" spans="1:9" ht="17">
      <c r="A31" s="181"/>
      <c r="B31" s="179"/>
      <c r="C31" s="192" t="s">
        <v>515</v>
      </c>
      <c r="D31" s="193"/>
      <c r="E31" s="193"/>
      <c r="F31" s="193"/>
      <c r="G31" s="193"/>
      <c r="H31" s="194"/>
      <c r="I31" s="179"/>
    </row>
    <row r="32" spans="1:9" ht="17">
      <c r="A32" s="181"/>
      <c r="B32" s="179"/>
      <c r="C32" s="192" t="s">
        <v>502</v>
      </c>
      <c r="D32" s="193"/>
      <c r="E32" s="193"/>
      <c r="F32" s="193"/>
      <c r="G32" s="193"/>
      <c r="H32" s="194"/>
      <c r="I32" s="179"/>
    </row>
    <row r="33" spans="1:9" ht="17">
      <c r="A33" s="181"/>
      <c r="B33" s="179"/>
      <c r="C33" s="192" t="s">
        <v>537</v>
      </c>
      <c r="D33" s="193"/>
      <c r="E33" s="193"/>
      <c r="F33" s="193"/>
      <c r="G33" s="193"/>
      <c r="H33" s="194"/>
      <c r="I33" s="179"/>
    </row>
    <row r="34" spans="1:9" ht="17">
      <c r="A34" s="181"/>
      <c r="B34" s="179"/>
      <c r="C34" s="192" t="s">
        <v>553</v>
      </c>
      <c r="D34" s="193"/>
      <c r="E34" s="193"/>
      <c r="F34" s="193"/>
      <c r="G34" s="193"/>
      <c r="H34" s="194"/>
      <c r="I34" s="179"/>
    </row>
    <row r="35" spans="1:9" ht="17">
      <c r="A35" s="181"/>
      <c r="B35" s="179"/>
      <c r="C35" s="192" t="s">
        <v>574</v>
      </c>
      <c r="D35" s="193"/>
      <c r="E35" s="193"/>
      <c r="F35" s="193"/>
      <c r="G35" s="193"/>
      <c r="H35" s="194"/>
      <c r="I35" s="179"/>
    </row>
    <row r="36" spans="1:9" ht="17">
      <c r="A36" s="181"/>
      <c r="B36" s="179"/>
      <c r="C36" s="192" t="s">
        <v>583</v>
      </c>
      <c r="D36" s="193"/>
      <c r="E36" s="193"/>
      <c r="F36" s="193"/>
      <c r="G36" s="193"/>
      <c r="H36" s="194"/>
      <c r="I36" s="179"/>
    </row>
    <row r="37" spans="1:9" ht="17">
      <c r="A37" s="181"/>
      <c r="B37" s="179"/>
      <c r="C37" s="192" t="s">
        <v>932</v>
      </c>
      <c r="D37" s="193"/>
      <c r="E37" s="193"/>
      <c r="F37" s="196"/>
      <c r="G37" s="193"/>
      <c r="H37" s="194"/>
      <c r="I37" s="179"/>
    </row>
    <row r="38" spans="1:9" ht="17">
      <c r="A38" s="181"/>
      <c r="B38" s="179"/>
      <c r="C38" s="202"/>
      <c r="D38" s="196"/>
      <c r="E38" s="196"/>
      <c r="F38" s="203"/>
      <c r="G38" s="196"/>
      <c r="H38" s="204"/>
      <c r="I38" s="179"/>
    </row>
    <row r="39" spans="1:9" ht="17">
      <c r="A39" s="181"/>
      <c r="B39" s="179"/>
      <c r="C39" s="197" t="s">
        <v>4897</v>
      </c>
      <c r="D39" s="199"/>
      <c r="E39" s="199"/>
      <c r="F39" s="198"/>
      <c r="G39" s="199"/>
      <c r="H39" s="200"/>
      <c r="I39" s="179"/>
    </row>
    <row r="40" spans="1:9" ht="17">
      <c r="A40" s="181"/>
      <c r="B40" s="179"/>
      <c r="C40" s="182"/>
      <c r="D40" s="179"/>
      <c r="E40" s="179"/>
      <c r="F40" s="179"/>
      <c r="G40" s="179"/>
      <c r="H40" s="179"/>
      <c r="I40" s="179"/>
    </row>
    <row r="41" spans="1:9" ht="26">
      <c r="A41" s="181"/>
      <c r="B41" s="184">
        <v>2</v>
      </c>
      <c r="C41" s="205" t="s">
        <v>811</v>
      </c>
      <c r="D41" s="179"/>
      <c r="E41" s="179"/>
      <c r="F41" s="179"/>
      <c r="G41" s="179"/>
      <c r="H41" s="179"/>
      <c r="I41" s="179"/>
    </row>
    <row r="42" spans="1:9" ht="17">
      <c r="A42" s="181"/>
      <c r="B42" s="179"/>
      <c r="C42" s="206" t="s">
        <v>47</v>
      </c>
      <c r="D42" s="207" t="s">
        <v>2587</v>
      </c>
      <c r="E42" s="208" t="s">
        <v>4932</v>
      </c>
      <c r="F42" s="208" t="s">
        <v>2508</v>
      </c>
      <c r="G42" s="209"/>
      <c r="H42" s="209"/>
      <c r="I42" s="179"/>
    </row>
    <row r="43" spans="1:9" ht="17">
      <c r="A43" s="181"/>
      <c r="B43" s="179"/>
      <c r="C43" s="210" t="s">
        <v>4934</v>
      </c>
      <c r="D43" s="211"/>
      <c r="E43" s="212"/>
      <c r="F43" s="213"/>
      <c r="G43" s="214"/>
      <c r="H43" s="214"/>
      <c r="I43" s="179"/>
    </row>
    <row r="44" spans="1:9" ht="17">
      <c r="A44" s="181"/>
      <c r="B44" s="179"/>
      <c r="C44" s="192" t="s">
        <v>4935</v>
      </c>
      <c r="D44" s="196"/>
      <c r="E44" s="215"/>
      <c r="F44" s="194"/>
      <c r="G44" s="195"/>
      <c r="H44" s="195"/>
      <c r="I44" s="179"/>
    </row>
    <row r="45" spans="1:9" ht="17">
      <c r="A45" s="181"/>
      <c r="B45" s="179"/>
      <c r="C45" s="202" t="s">
        <v>4936</v>
      </c>
      <c r="D45" s="196"/>
      <c r="E45" s="216"/>
      <c r="F45" s="204"/>
      <c r="G45" s="217"/>
      <c r="H45" s="217"/>
      <c r="I45" s="179"/>
    </row>
    <row r="46" spans="1:9" ht="17">
      <c r="A46" s="181"/>
      <c r="B46" s="179"/>
      <c r="C46" s="202"/>
      <c r="D46" s="196"/>
      <c r="E46" s="216"/>
      <c r="F46" s="204"/>
      <c r="G46" s="217"/>
      <c r="H46" s="217"/>
      <c r="I46" s="179"/>
    </row>
    <row r="47" spans="1:9" ht="17">
      <c r="A47" s="181"/>
      <c r="B47" s="179"/>
      <c r="C47" s="197" t="s">
        <v>4897</v>
      </c>
      <c r="D47" s="198"/>
      <c r="E47" s="218"/>
      <c r="F47" s="200"/>
      <c r="G47" s="201"/>
      <c r="H47" s="201"/>
      <c r="I47" s="179"/>
    </row>
    <row r="48" spans="1:9" ht="17">
      <c r="A48" s="181"/>
      <c r="B48" s="179"/>
      <c r="C48" s="182"/>
      <c r="D48" s="179"/>
      <c r="E48" s="179"/>
      <c r="F48" s="179"/>
      <c r="G48" s="179"/>
      <c r="H48" s="179"/>
      <c r="I48" s="179"/>
    </row>
    <row r="49" spans="1:9" ht="17">
      <c r="A49" s="181"/>
      <c r="B49" s="184">
        <v>3</v>
      </c>
      <c r="C49" s="205" t="s">
        <v>815</v>
      </c>
      <c r="D49" s="179"/>
      <c r="E49" s="179"/>
      <c r="F49" s="179"/>
      <c r="G49" s="179"/>
      <c r="H49" s="179"/>
      <c r="I49" s="179"/>
    </row>
    <row r="50" spans="1:9" ht="17">
      <c r="A50" s="181"/>
      <c r="B50" s="179"/>
      <c r="C50" s="206" t="s">
        <v>47</v>
      </c>
      <c r="D50" s="207" t="s">
        <v>2587</v>
      </c>
      <c r="E50" s="208" t="s">
        <v>4932</v>
      </c>
      <c r="F50" s="208" t="s">
        <v>2508</v>
      </c>
      <c r="G50" s="209"/>
      <c r="H50" s="209"/>
      <c r="I50" s="179"/>
    </row>
    <row r="51" spans="1:9" ht="17">
      <c r="A51" s="181"/>
      <c r="B51" s="179"/>
      <c r="C51" s="210" t="s">
        <v>4937</v>
      </c>
      <c r="D51" s="211"/>
      <c r="E51" s="212"/>
      <c r="F51" s="213"/>
      <c r="G51" s="214"/>
      <c r="H51" s="214"/>
      <c r="I51" s="179"/>
    </row>
    <row r="52" spans="1:9" ht="17">
      <c r="A52" s="181"/>
      <c r="B52" s="179"/>
      <c r="C52" s="192"/>
      <c r="D52" s="196"/>
      <c r="E52" s="215"/>
      <c r="F52" s="194"/>
      <c r="G52" s="195"/>
      <c r="H52" s="195"/>
      <c r="I52" s="179"/>
    </row>
    <row r="53" spans="1:9" ht="17">
      <c r="A53" s="181"/>
      <c r="B53" s="179"/>
      <c r="C53" s="197" t="s">
        <v>4897</v>
      </c>
      <c r="D53" s="198"/>
      <c r="E53" s="218"/>
      <c r="F53" s="200"/>
      <c r="G53" s="201"/>
      <c r="H53" s="201"/>
      <c r="I53" s="179"/>
    </row>
    <row r="54" spans="1:9" ht="17">
      <c r="A54" s="181"/>
      <c r="B54" s="179"/>
      <c r="C54" s="205"/>
      <c r="D54" s="179"/>
      <c r="E54" s="179"/>
      <c r="F54" s="179"/>
      <c r="G54" s="179"/>
      <c r="H54" s="179"/>
      <c r="I54" s="179"/>
    </row>
    <row r="55" spans="1:9" ht="17">
      <c r="A55" s="181"/>
      <c r="B55" s="184">
        <v>4</v>
      </c>
      <c r="C55" s="205" t="s">
        <v>819</v>
      </c>
      <c r="D55" s="179"/>
      <c r="E55" s="179"/>
      <c r="F55" s="179"/>
      <c r="G55" s="179"/>
      <c r="H55" s="179"/>
      <c r="I55" s="179"/>
    </row>
    <row r="56" spans="1:9" ht="17">
      <c r="A56" s="181"/>
      <c r="B56" s="179"/>
      <c r="C56" s="206" t="s">
        <v>47</v>
      </c>
      <c r="D56" s="207" t="s">
        <v>2587</v>
      </c>
      <c r="E56" s="208" t="s">
        <v>4932</v>
      </c>
      <c r="F56" s="208" t="s">
        <v>2508</v>
      </c>
      <c r="G56" s="209"/>
      <c r="H56" s="209"/>
      <c r="I56" s="179"/>
    </row>
    <row r="57" spans="1:9" ht="17">
      <c r="A57" s="181"/>
      <c r="B57" s="179"/>
      <c r="C57" s="210" t="s">
        <v>4938</v>
      </c>
      <c r="D57" s="211"/>
      <c r="E57" s="212"/>
      <c r="F57" s="213"/>
      <c r="G57" s="214"/>
      <c r="H57" s="214"/>
      <c r="I57" s="179"/>
    </row>
    <row r="58" spans="1:9" ht="17">
      <c r="A58" s="181"/>
      <c r="B58" s="179"/>
      <c r="C58" s="192"/>
      <c r="D58" s="196"/>
      <c r="E58" s="215"/>
      <c r="F58" s="194"/>
      <c r="G58" s="195"/>
      <c r="H58" s="195"/>
      <c r="I58" s="179"/>
    </row>
    <row r="59" spans="1:9" ht="17">
      <c r="A59" s="181"/>
      <c r="B59" s="179"/>
      <c r="C59" s="197" t="s">
        <v>4897</v>
      </c>
      <c r="D59" s="198"/>
      <c r="E59" s="218"/>
      <c r="F59" s="200"/>
      <c r="G59" s="201"/>
      <c r="H59" s="201"/>
      <c r="I59" s="179"/>
    </row>
    <row r="60" spans="1:9" ht="17">
      <c r="A60" s="181"/>
      <c r="B60" s="179"/>
      <c r="C60" s="205"/>
      <c r="D60" s="179"/>
      <c r="E60" s="179"/>
      <c r="F60" s="179"/>
      <c r="G60" s="179"/>
      <c r="H60" s="179"/>
      <c r="I60" s="179"/>
    </row>
    <row r="61" spans="1:9" ht="26">
      <c r="A61" s="181"/>
      <c r="B61" s="184">
        <v>5</v>
      </c>
      <c r="C61" s="205" t="s">
        <v>2279</v>
      </c>
      <c r="D61" s="179"/>
      <c r="E61" s="179"/>
      <c r="F61" s="179"/>
      <c r="G61" s="179"/>
      <c r="H61" s="179"/>
      <c r="I61" s="179"/>
    </row>
    <row r="62" spans="1:9" ht="17">
      <c r="A62" s="181"/>
      <c r="B62" s="179"/>
      <c r="C62" s="188" t="s">
        <v>47</v>
      </c>
      <c r="D62" s="189" t="s">
        <v>2587</v>
      </c>
      <c r="E62" s="189" t="s">
        <v>4932</v>
      </c>
      <c r="F62" s="190" t="s">
        <v>2508</v>
      </c>
      <c r="G62" s="191"/>
      <c r="H62" s="191"/>
      <c r="I62" s="179"/>
    </row>
    <row r="63" spans="1:9" ht="17">
      <c r="A63" s="181"/>
      <c r="B63" s="179"/>
      <c r="C63" s="192" t="s">
        <v>4801</v>
      </c>
      <c r="D63" s="193"/>
      <c r="E63" s="193"/>
      <c r="F63" s="194"/>
      <c r="G63" s="195"/>
      <c r="H63" s="195"/>
      <c r="I63" s="179"/>
    </row>
    <row r="64" spans="1:9" ht="17">
      <c r="A64" s="181"/>
      <c r="B64" s="179"/>
      <c r="C64" s="192" t="s">
        <v>4802</v>
      </c>
      <c r="D64" s="193"/>
      <c r="E64" s="193"/>
      <c r="F64" s="194"/>
      <c r="G64" s="195"/>
      <c r="H64" s="195"/>
      <c r="I64" s="179"/>
    </row>
    <row r="65" spans="1:9" ht="17">
      <c r="A65" s="181"/>
      <c r="B65" s="179"/>
      <c r="C65" s="192" t="s">
        <v>4803</v>
      </c>
      <c r="D65" s="193"/>
      <c r="E65" s="193"/>
      <c r="F65" s="194"/>
      <c r="G65" s="195"/>
      <c r="H65" s="195"/>
      <c r="I65" s="179"/>
    </row>
    <row r="66" spans="1:9" ht="17">
      <c r="A66" s="181"/>
      <c r="B66" s="179"/>
      <c r="C66" s="192"/>
      <c r="D66" s="193"/>
      <c r="E66" s="193"/>
      <c r="F66" s="194"/>
      <c r="G66" s="195"/>
      <c r="H66" s="195"/>
      <c r="I66" s="179"/>
    </row>
    <row r="67" spans="1:9" ht="17">
      <c r="A67" s="181"/>
      <c r="B67" s="179"/>
      <c r="C67" s="192" t="s">
        <v>4804</v>
      </c>
      <c r="D67" s="193"/>
      <c r="E67" s="193"/>
      <c r="F67" s="194"/>
      <c r="G67" s="195"/>
      <c r="H67" s="195"/>
      <c r="I67" s="179"/>
    </row>
    <row r="68" spans="1:9" ht="17">
      <c r="A68" s="181"/>
      <c r="B68" s="179"/>
      <c r="C68" s="192" t="s">
        <v>4805</v>
      </c>
      <c r="D68" s="196"/>
      <c r="E68" s="193"/>
      <c r="F68" s="194"/>
      <c r="G68" s="195"/>
      <c r="H68" s="195"/>
      <c r="I68" s="179"/>
    </row>
    <row r="69" spans="1:9" ht="26">
      <c r="A69" s="181"/>
      <c r="B69" s="179"/>
      <c r="C69" s="192" t="s">
        <v>4806</v>
      </c>
      <c r="D69" s="203"/>
      <c r="E69" s="196"/>
      <c r="F69" s="204"/>
      <c r="G69" s="217"/>
      <c r="H69" s="217"/>
      <c r="I69" s="179"/>
    </row>
    <row r="70" spans="1:9" ht="17">
      <c r="A70" s="181"/>
      <c r="B70" s="179"/>
      <c r="C70" s="202"/>
      <c r="D70" s="203"/>
      <c r="E70" s="196"/>
      <c r="F70" s="204"/>
      <c r="G70" s="217"/>
      <c r="H70" s="217"/>
      <c r="I70" s="179"/>
    </row>
    <row r="71" spans="1:9" ht="17">
      <c r="A71" s="181"/>
      <c r="B71" s="179"/>
      <c r="C71" s="197" t="s">
        <v>4897</v>
      </c>
      <c r="D71" s="198"/>
      <c r="E71" s="199"/>
      <c r="F71" s="200"/>
      <c r="G71" s="201"/>
      <c r="H71" s="201"/>
      <c r="I71" s="179"/>
    </row>
    <row r="72" spans="1:9" ht="17">
      <c r="A72" s="181"/>
      <c r="B72" s="179"/>
      <c r="C72" s="205"/>
      <c r="D72" s="179"/>
      <c r="E72" s="179"/>
      <c r="F72" s="179"/>
      <c r="G72" s="179"/>
      <c r="H72" s="179"/>
      <c r="I72" s="179"/>
    </row>
    <row r="73" spans="1:9" ht="26">
      <c r="A73" s="181"/>
      <c r="B73" s="184">
        <v>6</v>
      </c>
      <c r="C73" s="205" t="s">
        <v>2280</v>
      </c>
      <c r="D73" s="179"/>
      <c r="E73" s="179"/>
      <c r="F73" s="179"/>
      <c r="G73" s="179"/>
      <c r="H73" s="179"/>
      <c r="I73" s="179"/>
    </row>
    <row r="74" spans="1:9" ht="17">
      <c r="A74" s="181"/>
      <c r="B74" s="179"/>
      <c r="C74" s="188" t="s">
        <v>47</v>
      </c>
      <c r="D74" s="189" t="s">
        <v>2587</v>
      </c>
      <c r="E74" s="189" t="s">
        <v>4932</v>
      </c>
      <c r="F74" s="190" t="s">
        <v>2508</v>
      </c>
      <c r="G74" s="191"/>
      <c r="H74" s="191"/>
      <c r="I74" s="179"/>
    </row>
    <row r="75" spans="1:9" ht="26">
      <c r="A75" s="181"/>
      <c r="B75" s="179"/>
      <c r="C75" s="192" t="s">
        <v>4808</v>
      </c>
      <c r="D75" s="193"/>
      <c r="E75" s="193"/>
      <c r="F75" s="194"/>
      <c r="G75" s="195"/>
      <c r="H75" s="195"/>
      <c r="I75" s="179"/>
    </row>
    <row r="76" spans="1:9" ht="17">
      <c r="A76" s="181"/>
      <c r="B76" s="179"/>
      <c r="C76" s="192" t="s">
        <v>4809</v>
      </c>
      <c r="D76" s="193"/>
      <c r="E76" s="193"/>
      <c r="F76" s="194"/>
      <c r="G76" s="195"/>
      <c r="H76" s="195"/>
      <c r="I76" s="179"/>
    </row>
    <row r="77" spans="1:9" ht="17">
      <c r="A77" s="181"/>
      <c r="B77" s="179"/>
      <c r="C77" s="192"/>
      <c r="D77" s="196"/>
      <c r="E77" s="193"/>
      <c r="F77" s="194"/>
      <c r="G77" s="195"/>
      <c r="H77" s="195"/>
      <c r="I77" s="179"/>
    </row>
    <row r="78" spans="1:9" ht="17">
      <c r="A78" s="181"/>
      <c r="B78" s="179"/>
      <c r="C78" s="197" t="s">
        <v>4897</v>
      </c>
      <c r="D78" s="198"/>
      <c r="E78" s="199"/>
      <c r="F78" s="200"/>
      <c r="G78" s="201"/>
      <c r="H78" s="201"/>
      <c r="I78" s="179"/>
    </row>
    <row r="79" spans="1:9" ht="17">
      <c r="A79" s="181"/>
      <c r="B79" s="179"/>
      <c r="C79" s="205"/>
      <c r="D79" s="179"/>
      <c r="E79" s="179"/>
      <c r="F79" s="179"/>
      <c r="G79" s="179"/>
      <c r="H79" s="179"/>
      <c r="I79" s="179"/>
    </row>
    <row r="80" spans="1:9" ht="26">
      <c r="A80" s="181"/>
      <c r="B80" s="184">
        <v>7</v>
      </c>
      <c r="C80" s="205" t="s">
        <v>2281</v>
      </c>
      <c r="D80" s="179"/>
      <c r="E80" s="179"/>
      <c r="F80" s="179"/>
      <c r="G80" s="179"/>
      <c r="H80" s="179"/>
      <c r="I80" s="179"/>
    </row>
    <row r="81" spans="1:9" ht="17">
      <c r="A81" s="181"/>
      <c r="B81" s="179"/>
      <c r="C81" s="188" t="s">
        <v>47</v>
      </c>
      <c r="D81" s="189" t="s">
        <v>2587</v>
      </c>
      <c r="E81" s="189" t="s">
        <v>4932</v>
      </c>
      <c r="F81" s="190" t="s">
        <v>2508</v>
      </c>
      <c r="G81" s="191"/>
      <c r="H81" s="191"/>
      <c r="I81" s="179"/>
    </row>
    <row r="82" spans="1:9" ht="17">
      <c r="A82" s="181"/>
      <c r="B82" s="179"/>
      <c r="C82" s="192" t="s">
        <v>4811</v>
      </c>
      <c r="D82" s="193"/>
      <c r="E82" s="193"/>
      <c r="F82" s="194"/>
      <c r="G82" s="195"/>
      <c r="H82" s="195"/>
      <c r="I82" s="179"/>
    </row>
    <row r="83" spans="1:9" ht="17">
      <c r="A83" s="181"/>
      <c r="B83" s="179"/>
      <c r="C83" s="192"/>
      <c r="D83" s="196"/>
      <c r="E83" s="193"/>
      <c r="F83" s="194"/>
      <c r="G83" s="195"/>
      <c r="H83" s="195"/>
      <c r="I83" s="179"/>
    </row>
    <row r="84" spans="1:9" ht="17">
      <c r="A84" s="181"/>
      <c r="B84" s="179"/>
      <c r="C84" s="197" t="s">
        <v>4897</v>
      </c>
      <c r="D84" s="198"/>
      <c r="E84" s="199"/>
      <c r="F84" s="200"/>
      <c r="G84" s="201"/>
      <c r="H84" s="201"/>
      <c r="I84" s="179"/>
    </row>
    <row r="85" spans="1:9" ht="17">
      <c r="A85" s="181"/>
      <c r="B85" s="179"/>
      <c r="C85" s="205"/>
      <c r="D85" s="179"/>
      <c r="E85" s="179"/>
      <c r="F85" s="179"/>
      <c r="G85" s="179"/>
      <c r="H85" s="179"/>
      <c r="I85" s="179"/>
    </row>
    <row r="86" spans="1:9" ht="17">
      <c r="A86" s="181"/>
      <c r="B86" s="184">
        <v>8</v>
      </c>
      <c r="C86" s="205" t="s">
        <v>2282</v>
      </c>
      <c r="D86" s="179"/>
      <c r="E86" s="179"/>
      <c r="F86" s="179"/>
      <c r="G86" s="179"/>
      <c r="H86" s="179"/>
      <c r="I86" s="179"/>
    </row>
    <row r="87" spans="1:9" ht="17">
      <c r="A87" s="181"/>
      <c r="B87" s="179"/>
      <c r="C87" s="188" t="s">
        <v>47</v>
      </c>
      <c r="D87" s="221" t="s">
        <v>2587</v>
      </c>
      <c r="E87" s="221" t="s">
        <v>4932</v>
      </c>
      <c r="F87" s="222" t="s">
        <v>2508</v>
      </c>
      <c r="G87" s="191"/>
      <c r="H87" s="191"/>
      <c r="I87" s="179"/>
    </row>
    <row r="88" spans="1:9" ht="17">
      <c r="A88" s="181"/>
      <c r="B88" s="179"/>
      <c r="C88" s="192" t="s">
        <v>771</v>
      </c>
      <c r="D88" s="193"/>
      <c r="E88" s="193"/>
      <c r="F88" s="194"/>
      <c r="G88" s="195"/>
      <c r="H88" s="195"/>
      <c r="I88" s="179"/>
    </row>
    <row r="89" spans="1:9" ht="17">
      <c r="A89" s="181"/>
      <c r="B89" s="179"/>
      <c r="C89" s="192" t="s">
        <v>4271</v>
      </c>
      <c r="D89" s="193"/>
      <c r="E89" s="193"/>
      <c r="F89" s="194"/>
      <c r="G89" s="195"/>
      <c r="H89" s="195"/>
      <c r="I89" s="179"/>
    </row>
    <row r="90" spans="1:9" ht="17">
      <c r="A90" s="181"/>
      <c r="B90" s="179"/>
      <c r="C90" s="192" t="s">
        <v>4939</v>
      </c>
      <c r="D90" s="193"/>
      <c r="E90" s="193"/>
      <c r="F90" s="194"/>
      <c r="G90" s="195"/>
      <c r="H90" s="195"/>
      <c r="I90" s="179"/>
    </row>
    <row r="91" spans="1:9" ht="26">
      <c r="A91" s="181"/>
      <c r="B91" s="179"/>
      <c r="C91" s="192" t="s">
        <v>4814</v>
      </c>
      <c r="D91" s="196"/>
      <c r="E91" s="193"/>
      <c r="F91" s="194"/>
      <c r="G91" s="195"/>
      <c r="H91" s="195"/>
      <c r="I91" s="179"/>
    </row>
    <row r="92" spans="1:9" ht="17">
      <c r="A92" s="181"/>
      <c r="B92" s="179"/>
      <c r="C92" s="192"/>
      <c r="D92" s="196"/>
      <c r="E92" s="193"/>
      <c r="F92" s="194"/>
      <c r="G92" s="195"/>
      <c r="H92" s="195"/>
      <c r="I92" s="179"/>
    </row>
    <row r="93" spans="1:9" ht="17">
      <c r="A93" s="181"/>
      <c r="B93" s="179"/>
      <c r="C93" s="197" t="s">
        <v>4897</v>
      </c>
      <c r="D93" s="198"/>
      <c r="E93" s="199"/>
      <c r="F93" s="200"/>
      <c r="G93" s="201"/>
      <c r="H93" s="201"/>
      <c r="I93" s="179"/>
    </row>
    <row r="94" spans="1:9" ht="17">
      <c r="A94" s="181"/>
      <c r="B94" s="179"/>
      <c r="C94" s="223" t="s">
        <v>4940</v>
      </c>
      <c r="D94" s="179"/>
      <c r="E94" s="179"/>
      <c r="F94" s="179"/>
      <c r="G94" s="179"/>
      <c r="H94" s="179"/>
      <c r="I94" s="179"/>
    </row>
    <row r="95" spans="1:9" ht="17">
      <c r="A95" s="181"/>
      <c r="B95" s="179"/>
      <c r="C95" s="205"/>
      <c r="D95" s="179"/>
      <c r="E95" s="179"/>
      <c r="F95" s="179"/>
      <c r="G95" s="179"/>
      <c r="H95" s="179"/>
      <c r="I95" s="179"/>
    </row>
    <row r="96" spans="1:9" ht="17">
      <c r="A96" s="181"/>
      <c r="B96" s="184">
        <v>9</v>
      </c>
      <c r="C96" s="205" t="s">
        <v>2283</v>
      </c>
      <c r="D96" s="179"/>
      <c r="E96" s="179"/>
      <c r="F96" s="179"/>
      <c r="G96" s="179"/>
      <c r="H96" s="179"/>
      <c r="I96" s="179"/>
    </row>
    <row r="97" spans="1:9" ht="17">
      <c r="A97" s="181"/>
      <c r="B97" s="179"/>
      <c r="C97" s="188" t="s">
        <v>47</v>
      </c>
      <c r="D97" s="189" t="s">
        <v>2587</v>
      </c>
      <c r="E97" s="189" t="s">
        <v>4932</v>
      </c>
      <c r="F97" s="190" t="s">
        <v>2508</v>
      </c>
      <c r="G97" s="191"/>
      <c r="H97" s="191"/>
      <c r="I97" s="179"/>
    </row>
    <row r="98" spans="1:9" ht="17">
      <c r="A98" s="181"/>
      <c r="B98" s="179"/>
      <c r="C98" s="192" t="s">
        <v>843</v>
      </c>
      <c r="D98" s="193"/>
      <c r="E98" s="193"/>
      <c r="F98" s="194"/>
      <c r="G98" s="195"/>
      <c r="H98" s="195"/>
      <c r="I98" s="179"/>
    </row>
    <row r="99" spans="1:9" ht="17">
      <c r="A99" s="181"/>
      <c r="B99" s="179"/>
      <c r="C99" s="192"/>
      <c r="D99" s="196"/>
      <c r="E99" s="193"/>
      <c r="F99" s="194"/>
      <c r="G99" s="195"/>
      <c r="H99" s="195"/>
      <c r="I99" s="179"/>
    </row>
    <row r="100" spans="1:9" ht="17">
      <c r="A100" s="181"/>
      <c r="B100" s="179"/>
      <c r="C100" s="197" t="s">
        <v>4897</v>
      </c>
      <c r="D100" s="198"/>
      <c r="E100" s="199"/>
      <c r="F100" s="200"/>
      <c r="G100" s="201"/>
      <c r="H100" s="201"/>
      <c r="I100" s="179"/>
    </row>
    <row r="101" spans="1:9" ht="17">
      <c r="A101" s="181"/>
      <c r="B101" s="179"/>
      <c r="C101" s="205"/>
      <c r="D101" s="179"/>
      <c r="E101" s="179"/>
      <c r="F101" s="179"/>
      <c r="G101" s="179"/>
      <c r="H101" s="179"/>
      <c r="I101" s="179"/>
    </row>
    <row r="102" spans="1:9" ht="26">
      <c r="A102" s="181"/>
      <c r="B102" s="179">
        <v>10</v>
      </c>
      <c r="C102" s="205" t="s">
        <v>2284</v>
      </c>
      <c r="D102" s="179"/>
      <c r="E102" s="179"/>
      <c r="F102" s="179"/>
      <c r="G102" s="179"/>
      <c r="H102" s="179"/>
      <c r="I102" s="179"/>
    </row>
    <row r="103" spans="1:9" ht="17">
      <c r="A103" s="181"/>
      <c r="B103" s="179"/>
      <c r="C103" s="188" t="s">
        <v>47</v>
      </c>
      <c r="D103" s="189" t="s">
        <v>3276</v>
      </c>
      <c r="E103" s="189" t="s">
        <v>3273</v>
      </c>
      <c r="F103" s="190" t="s">
        <v>3275</v>
      </c>
      <c r="G103" s="224" t="s">
        <v>4932</v>
      </c>
      <c r="H103" s="224" t="s">
        <v>2508</v>
      </c>
      <c r="I103" s="179"/>
    </row>
    <row r="104" spans="1:9" ht="17">
      <c r="A104" s="181"/>
      <c r="B104" s="179"/>
      <c r="C104" s="192" t="s">
        <v>422</v>
      </c>
      <c r="D104" s="193"/>
      <c r="E104" s="193"/>
      <c r="F104" s="215"/>
      <c r="G104" s="225"/>
      <c r="H104" s="195"/>
      <c r="I104" s="179"/>
    </row>
    <row r="105" spans="1:9" ht="17">
      <c r="A105" s="181"/>
      <c r="B105" s="179"/>
      <c r="C105" s="192"/>
      <c r="D105" s="196"/>
      <c r="E105" s="193"/>
      <c r="F105" s="216"/>
      <c r="G105" s="225"/>
      <c r="H105" s="195"/>
      <c r="I105" s="179"/>
    </row>
    <row r="106" spans="1:9" ht="17">
      <c r="A106" s="181"/>
      <c r="B106" s="179"/>
      <c r="C106" s="197" t="s">
        <v>4897</v>
      </c>
      <c r="D106" s="218"/>
      <c r="E106" s="199"/>
      <c r="F106" s="226"/>
      <c r="G106" s="227"/>
      <c r="H106" s="201"/>
      <c r="I106" s="179"/>
    </row>
    <row r="107" spans="1:9" ht="17">
      <c r="A107" s="181"/>
      <c r="B107" s="179"/>
      <c r="C107" s="205"/>
      <c r="D107" s="179"/>
      <c r="E107" s="179"/>
      <c r="F107" s="179"/>
      <c r="G107" s="179"/>
      <c r="H107" s="179"/>
      <c r="I107" s="179"/>
    </row>
    <row r="108" spans="1:9" ht="26">
      <c r="A108" s="181"/>
      <c r="B108" s="179">
        <v>11</v>
      </c>
      <c r="C108" s="205" t="s">
        <v>2285</v>
      </c>
      <c r="D108" s="179"/>
      <c r="E108" s="179"/>
      <c r="F108" s="179"/>
      <c r="G108" s="179"/>
      <c r="H108" s="179"/>
      <c r="I108" s="179"/>
    </row>
    <row r="109" spans="1:9" ht="17">
      <c r="A109" s="181"/>
      <c r="B109" s="179"/>
      <c r="C109" s="188" t="s">
        <v>47</v>
      </c>
      <c r="D109" s="189" t="s">
        <v>3276</v>
      </c>
      <c r="E109" s="189" t="s">
        <v>3273</v>
      </c>
      <c r="F109" s="190" t="s">
        <v>3274</v>
      </c>
      <c r="G109" s="224" t="s">
        <v>4932</v>
      </c>
      <c r="H109" s="224" t="s">
        <v>2508</v>
      </c>
      <c r="I109" s="179"/>
    </row>
    <row r="110" spans="1:9" ht="17">
      <c r="A110" s="181"/>
      <c r="B110" s="179"/>
      <c r="C110" s="192" t="s">
        <v>576</v>
      </c>
      <c r="D110" s="193"/>
      <c r="E110" s="193"/>
      <c r="F110" s="215"/>
      <c r="G110" s="225"/>
      <c r="H110" s="195"/>
      <c r="I110" s="179"/>
    </row>
    <row r="111" spans="1:9" ht="17">
      <c r="A111" s="181"/>
      <c r="B111" s="179"/>
      <c r="C111" s="192"/>
      <c r="D111" s="196"/>
      <c r="E111" s="193"/>
      <c r="F111" s="216"/>
      <c r="G111" s="225"/>
      <c r="H111" s="195"/>
      <c r="I111" s="179"/>
    </row>
    <row r="112" spans="1:9" ht="17">
      <c r="A112" s="181"/>
      <c r="B112" s="179"/>
      <c r="C112" s="197" t="s">
        <v>4897</v>
      </c>
      <c r="D112" s="218"/>
      <c r="E112" s="199"/>
      <c r="F112" s="226"/>
      <c r="G112" s="227"/>
      <c r="H112" s="201"/>
      <c r="I112" s="179"/>
    </row>
    <row r="113" spans="1:9" ht="17">
      <c r="A113" s="181"/>
      <c r="B113" s="179"/>
      <c r="C113" s="205"/>
      <c r="D113" s="179"/>
      <c r="E113" s="179"/>
      <c r="F113" s="179"/>
      <c r="G113" s="179"/>
      <c r="H113" s="179"/>
      <c r="I113" s="179"/>
    </row>
    <row r="114" spans="1:9" ht="17">
      <c r="A114" s="181"/>
      <c r="B114" s="179"/>
      <c r="C114" s="205"/>
      <c r="D114" s="179"/>
      <c r="E114" s="179"/>
      <c r="F114" s="179"/>
      <c r="G114" s="179"/>
      <c r="H114" s="179"/>
      <c r="I114" s="179"/>
    </row>
    <row r="115" spans="1:9" ht="17">
      <c r="A115" s="181"/>
      <c r="B115" s="184">
        <v>12</v>
      </c>
      <c r="C115" s="205" t="s">
        <v>2286</v>
      </c>
      <c r="D115" s="179"/>
      <c r="E115" s="179"/>
      <c r="F115" s="179"/>
      <c r="G115" s="179"/>
      <c r="H115" s="179"/>
      <c r="I115" s="179"/>
    </row>
    <row r="116" spans="1:9" ht="17">
      <c r="A116" s="181"/>
      <c r="B116" s="179"/>
      <c r="C116" s="188" t="s">
        <v>47</v>
      </c>
      <c r="D116" s="189" t="s">
        <v>3275</v>
      </c>
      <c r="E116" s="189" t="s">
        <v>4932</v>
      </c>
      <c r="F116" s="190" t="s">
        <v>2508</v>
      </c>
      <c r="G116" s="191"/>
      <c r="H116" s="191"/>
      <c r="I116" s="179"/>
    </row>
    <row r="117" spans="1:9" ht="17">
      <c r="A117" s="181"/>
      <c r="B117" s="179"/>
      <c r="C117" s="192" t="s">
        <v>4819</v>
      </c>
      <c r="D117" s="193"/>
      <c r="E117" s="193"/>
      <c r="F117" s="194"/>
      <c r="G117" s="195"/>
      <c r="H117" s="195"/>
      <c r="I117" s="179"/>
    </row>
    <row r="118" spans="1:9" ht="17">
      <c r="A118" s="181"/>
      <c r="B118" s="179"/>
      <c r="C118" s="192" t="s">
        <v>4820</v>
      </c>
      <c r="D118" s="193"/>
      <c r="E118" s="193"/>
      <c r="F118" s="194"/>
      <c r="G118" s="195"/>
      <c r="H118" s="195"/>
      <c r="I118" s="179"/>
    </row>
    <row r="119" spans="1:9" ht="17">
      <c r="A119" s="181"/>
      <c r="B119" s="179"/>
      <c r="C119" s="228" t="s">
        <v>4821</v>
      </c>
      <c r="D119" s="193"/>
      <c r="E119" s="193"/>
      <c r="F119" s="194"/>
      <c r="G119" s="195"/>
      <c r="H119" s="195"/>
      <c r="I119" s="179"/>
    </row>
    <row r="120" spans="1:9" ht="17">
      <c r="A120" s="181"/>
      <c r="B120" s="179"/>
      <c r="C120" s="192"/>
      <c r="D120" s="193"/>
      <c r="E120" s="193"/>
      <c r="F120" s="194"/>
      <c r="G120" s="195"/>
      <c r="H120" s="195"/>
      <c r="I120" s="179"/>
    </row>
    <row r="121" spans="1:9" ht="17">
      <c r="A121" s="181"/>
      <c r="B121" s="179"/>
      <c r="C121" s="192" t="s">
        <v>4822</v>
      </c>
      <c r="D121" s="193"/>
      <c r="E121" s="193"/>
      <c r="F121" s="194"/>
      <c r="G121" s="195"/>
      <c r="H121" s="195"/>
      <c r="I121" s="179"/>
    </row>
    <row r="122" spans="1:9" ht="17">
      <c r="A122" s="181"/>
      <c r="B122" s="179"/>
      <c r="C122" s="192" t="s">
        <v>4824</v>
      </c>
      <c r="D122" s="193"/>
      <c r="E122" s="193"/>
      <c r="F122" s="194"/>
      <c r="G122" s="195"/>
      <c r="H122" s="195"/>
      <c r="I122" s="179"/>
    </row>
    <row r="123" spans="1:9" ht="17">
      <c r="A123" s="181"/>
      <c r="B123" s="179"/>
      <c r="C123" s="229" t="s">
        <v>4826</v>
      </c>
      <c r="D123" s="193"/>
      <c r="E123" s="193"/>
      <c r="F123" s="194"/>
      <c r="G123" s="195"/>
      <c r="H123" s="195"/>
      <c r="I123" s="179"/>
    </row>
    <row r="124" spans="1:9" ht="17">
      <c r="A124" s="181"/>
      <c r="B124" s="179"/>
      <c r="C124" s="229" t="s">
        <v>4827</v>
      </c>
      <c r="D124" s="193"/>
      <c r="E124" s="193"/>
      <c r="F124" s="194"/>
      <c r="G124" s="195"/>
      <c r="H124" s="195"/>
      <c r="I124" s="179"/>
    </row>
    <row r="125" spans="1:9" ht="17">
      <c r="A125" s="181"/>
      <c r="B125" s="179"/>
      <c r="C125" s="229" t="s">
        <v>4828</v>
      </c>
      <c r="D125" s="193"/>
      <c r="E125" s="193"/>
      <c r="F125" s="194"/>
      <c r="G125" s="195"/>
      <c r="H125" s="195"/>
      <c r="I125" s="179"/>
    </row>
    <row r="126" spans="1:9" ht="17">
      <c r="A126" s="181"/>
      <c r="B126" s="179"/>
      <c r="C126" s="192"/>
      <c r="D126" s="193"/>
      <c r="E126" s="193"/>
      <c r="F126" s="194"/>
      <c r="G126" s="195"/>
      <c r="H126" s="195"/>
      <c r="I126" s="179"/>
    </row>
    <row r="127" spans="1:9" ht="17">
      <c r="A127" s="181"/>
      <c r="B127" s="179"/>
      <c r="C127" s="192" t="s">
        <v>4829</v>
      </c>
      <c r="D127" s="193"/>
      <c r="E127" s="193"/>
      <c r="F127" s="194"/>
      <c r="G127" s="195"/>
      <c r="H127" s="195"/>
      <c r="I127" s="179"/>
    </row>
    <row r="128" spans="1:9" ht="17">
      <c r="A128" s="181"/>
      <c r="B128" s="179"/>
      <c r="C128" s="229" t="s">
        <v>4830</v>
      </c>
      <c r="D128" s="193"/>
      <c r="E128" s="193"/>
      <c r="F128" s="230" t="s">
        <v>4831</v>
      </c>
      <c r="G128" s="195"/>
      <c r="H128" s="195"/>
      <c r="I128" s="179"/>
    </row>
    <row r="129" spans="1:9" ht="17">
      <c r="A129" s="181"/>
      <c r="B129" s="179"/>
      <c r="C129" s="229" t="s">
        <v>4832</v>
      </c>
      <c r="D129" s="193"/>
      <c r="E129" s="193"/>
      <c r="F129" s="230" t="s">
        <v>4831</v>
      </c>
      <c r="G129" s="195"/>
      <c r="H129" s="195"/>
      <c r="I129" s="179"/>
    </row>
    <row r="130" spans="1:9" ht="17">
      <c r="A130" s="181"/>
      <c r="B130" s="179"/>
      <c r="C130" s="192"/>
      <c r="D130" s="193"/>
      <c r="E130" s="193"/>
      <c r="F130" s="194"/>
      <c r="G130" s="195"/>
      <c r="H130" s="195"/>
      <c r="I130" s="179"/>
    </row>
    <row r="131" spans="1:9" ht="17">
      <c r="A131" s="181"/>
      <c r="B131" s="179"/>
      <c r="C131" s="228" t="s">
        <v>4825</v>
      </c>
      <c r="D131" s="193"/>
      <c r="E131" s="193"/>
      <c r="F131" s="194"/>
      <c r="G131" s="195"/>
      <c r="H131" s="195"/>
      <c r="I131" s="179"/>
    </row>
    <row r="132" spans="1:9" ht="17">
      <c r="A132" s="181"/>
      <c r="B132" s="179"/>
      <c r="C132" s="192"/>
      <c r="D132" s="196"/>
      <c r="E132" s="193"/>
      <c r="F132" s="194"/>
      <c r="G132" s="195"/>
      <c r="H132" s="195"/>
      <c r="I132" s="179"/>
    </row>
    <row r="133" spans="1:9" ht="17">
      <c r="A133" s="181"/>
      <c r="B133" s="179"/>
      <c r="C133" s="197" t="s">
        <v>4897</v>
      </c>
      <c r="D133" s="198"/>
      <c r="E133" s="199"/>
      <c r="F133" s="200"/>
      <c r="G133" s="201"/>
      <c r="H133" s="201"/>
      <c r="I133" s="179"/>
    </row>
    <row r="134" spans="1:9" ht="17">
      <c r="A134" s="181"/>
      <c r="B134" s="179"/>
      <c r="C134" s="205"/>
      <c r="D134" s="179"/>
      <c r="E134" s="179"/>
      <c r="F134" s="179"/>
      <c r="G134" s="179"/>
      <c r="H134" s="179"/>
      <c r="I134" s="179"/>
    </row>
    <row r="135" spans="1:9" ht="26">
      <c r="A135" s="181"/>
      <c r="B135" s="184">
        <v>13</v>
      </c>
      <c r="C135" s="205" t="s">
        <v>2287</v>
      </c>
      <c r="D135" s="179"/>
      <c r="E135" s="179"/>
      <c r="F135" s="179"/>
      <c r="G135" s="179"/>
      <c r="H135" s="179"/>
      <c r="I135" s="179"/>
    </row>
    <row r="136" spans="1:9" ht="17">
      <c r="A136" s="181"/>
      <c r="B136" s="179"/>
      <c r="C136" s="188" t="s">
        <v>47</v>
      </c>
      <c r="D136" s="189" t="s">
        <v>3276</v>
      </c>
      <c r="E136" s="189" t="s">
        <v>3273</v>
      </c>
      <c r="F136" s="190" t="s">
        <v>3275</v>
      </c>
      <c r="G136" s="191" t="s">
        <v>4932</v>
      </c>
      <c r="H136" s="191" t="s">
        <v>2508</v>
      </c>
      <c r="I136" s="179"/>
    </row>
    <row r="137" spans="1:9" ht="17">
      <c r="A137" s="181"/>
      <c r="B137" s="179"/>
      <c r="C137" s="192" t="s">
        <v>4834</v>
      </c>
      <c r="D137" s="193"/>
      <c r="E137" s="193"/>
      <c r="F137" s="194"/>
      <c r="G137" s="195"/>
      <c r="H137" s="195"/>
      <c r="I137" s="179"/>
    </row>
    <row r="138" spans="1:9" ht="17">
      <c r="A138" s="181"/>
      <c r="B138" s="179"/>
      <c r="C138" s="229" t="s">
        <v>109</v>
      </c>
      <c r="D138" s="193"/>
      <c r="E138" s="193"/>
      <c r="F138" s="193"/>
      <c r="G138" s="193"/>
      <c r="H138" s="194"/>
      <c r="I138" s="179"/>
    </row>
    <row r="139" spans="1:9" ht="17">
      <c r="A139" s="181"/>
      <c r="B139" s="179"/>
      <c r="C139" s="229" t="s">
        <v>124</v>
      </c>
      <c r="D139" s="193"/>
      <c r="E139" s="193"/>
      <c r="F139" s="193"/>
      <c r="G139" s="193"/>
      <c r="H139" s="194"/>
      <c r="I139" s="179"/>
    </row>
    <row r="140" spans="1:9" ht="17">
      <c r="A140" s="181"/>
      <c r="B140" s="179"/>
      <c r="C140" s="229" t="s">
        <v>162</v>
      </c>
      <c r="D140" s="193"/>
      <c r="E140" s="193"/>
      <c r="F140" s="193"/>
      <c r="G140" s="193"/>
      <c r="H140" s="194"/>
      <c r="I140" s="179"/>
    </row>
    <row r="141" spans="1:9" ht="17">
      <c r="A141" s="181"/>
      <c r="B141" s="179"/>
      <c r="C141" s="229" t="s">
        <v>201</v>
      </c>
      <c r="D141" s="193"/>
      <c r="E141" s="193"/>
      <c r="F141" s="193"/>
      <c r="G141" s="193"/>
      <c r="H141" s="194"/>
      <c r="I141" s="179"/>
    </row>
    <row r="142" spans="1:9" ht="17">
      <c r="A142" s="181"/>
      <c r="B142" s="179"/>
      <c r="C142" s="229" t="s">
        <v>247</v>
      </c>
      <c r="D142" s="193"/>
      <c r="E142" s="193"/>
      <c r="F142" s="193"/>
      <c r="G142" s="193"/>
      <c r="H142" s="194"/>
      <c r="I142" s="179"/>
    </row>
    <row r="143" spans="1:9" ht="17">
      <c r="A143" s="181"/>
      <c r="B143" s="179"/>
      <c r="C143" s="192"/>
      <c r="D143" s="193"/>
      <c r="E143" s="193"/>
      <c r="F143" s="193"/>
      <c r="G143" s="193"/>
      <c r="H143" s="194"/>
      <c r="I143" s="179"/>
    </row>
    <row r="144" spans="1:9" ht="17">
      <c r="A144" s="181"/>
      <c r="B144" s="179"/>
      <c r="C144" s="228" t="s">
        <v>4835</v>
      </c>
      <c r="D144" s="193"/>
      <c r="E144" s="193"/>
      <c r="F144" s="193"/>
      <c r="G144" s="193"/>
      <c r="H144" s="194"/>
      <c r="I144" s="179"/>
    </row>
    <row r="145" spans="1:9" ht="17">
      <c r="A145" s="181"/>
      <c r="B145" s="179"/>
      <c r="C145" s="192" t="s">
        <v>4836</v>
      </c>
      <c r="D145" s="193"/>
      <c r="E145" s="193"/>
      <c r="F145" s="193"/>
      <c r="G145" s="193"/>
      <c r="H145" s="194"/>
      <c r="I145" s="179"/>
    </row>
    <row r="146" spans="1:9" ht="17">
      <c r="A146" s="181"/>
      <c r="B146" s="179"/>
      <c r="C146" s="192" t="s">
        <v>4837</v>
      </c>
      <c r="D146" s="193"/>
      <c r="E146" s="193"/>
      <c r="F146" s="193"/>
      <c r="G146" s="193"/>
      <c r="H146" s="194"/>
      <c r="I146" s="179"/>
    </row>
    <row r="147" spans="1:9" ht="17">
      <c r="A147" s="181"/>
      <c r="B147" s="179"/>
      <c r="C147" s="229" t="s">
        <v>4839</v>
      </c>
      <c r="D147" s="193"/>
      <c r="E147" s="193"/>
      <c r="F147" s="193"/>
      <c r="G147" s="193"/>
      <c r="H147" s="194"/>
      <c r="I147" s="179"/>
    </row>
    <row r="148" spans="1:9" ht="26">
      <c r="A148" s="181"/>
      <c r="B148" s="179"/>
      <c r="C148" s="229" t="s">
        <v>4840</v>
      </c>
      <c r="D148" s="193"/>
      <c r="E148" s="193"/>
      <c r="F148" s="193"/>
      <c r="G148" s="193"/>
      <c r="H148" s="194"/>
      <c r="I148" s="179"/>
    </row>
    <row r="149" spans="1:9" ht="17">
      <c r="A149" s="181"/>
      <c r="B149" s="179"/>
      <c r="C149" s="229" t="s">
        <v>4841</v>
      </c>
      <c r="D149" s="193"/>
      <c r="E149" s="193"/>
      <c r="F149" s="193"/>
      <c r="G149" s="193"/>
      <c r="H149" s="194"/>
      <c r="I149" s="179"/>
    </row>
    <row r="150" spans="1:9" ht="17">
      <c r="A150" s="181"/>
      <c r="B150" s="179"/>
      <c r="C150" s="229" t="s">
        <v>4842</v>
      </c>
      <c r="D150" s="193"/>
      <c r="E150" s="193"/>
      <c r="F150" s="193"/>
      <c r="G150" s="193"/>
      <c r="H150" s="194"/>
      <c r="I150" s="179"/>
    </row>
    <row r="151" spans="1:9" ht="17">
      <c r="A151" s="181"/>
      <c r="B151" s="179"/>
      <c r="C151" s="229" t="s">
        <v>4843</v>
      </c>
      <c r="D151" s="193"/>
      <c r="E151" s="193"/>
      <c r="F151" s="193"/>
      <c r="G151" s="193"/>
      <c r="H151" s="194"/>
      <c r="I151" s="179"/>
    </row>
    <row r="152" spans="1:9" ht="17">
      <c r="A152" s="181"/>
      <c r="B152" s="179"/>
      <c r="C152" s="192"/>
      <c r="D152" s="193"/>
      <c r="E152" s="193"/>
      <c r="F152" s="193"/>
      <c r="G152" s="193"/>
      <c r="H152" s="194"/>
      <c r="I152" s="179"/>
    </row>
    <row r="153" spans="1:9" ht="17">
      <c r="A153" s="181"/>
      <c r="B153" s="179"/>
      <c r="C153" s="192" t="s">
        <v>4844</v>
      </c>
      <c r="D153" s="193"/>
      <c r="E153" s="193"/>
      <c r="F153" s="193"/>
      <c r="G153" s="193"/>
      <c r="H153" s="194"/>
      <c r="I153" s="179"/>
    </row>
    <row r="154" spans="1:9" ht="17">
      <c r="A154" s="181"/>
      <c r="B154" s="179"/>
      <c r="C154" s="229" t="s">
        <v>4845</v>
      </c>
      <c r="D154" s="193"/>
      <c r="E154" s="193"/>
      <c r="F154" s="193"/>
      <c r="G154" s="193"/>
      <c r="H154" s="194"/>
      <c r="I154" s="179"/>
    </row>
    <row r="155" spans="1:9" ht="17">
      <c r="A155" s="181"/>
      <c r="B155" s="179"/>
      <c r="C155" s="192"/>
      <c r="D155" s="193"/>
      <c r="E155" s="193"/>
      <c r="F155" s="193"/>
      <c r="G155" s="193"/>
      <c r="H155" s="194"/>
      <c r="I155" s="179"/>
    </row>
    <row r="156" spans="1:9" ht="17">
      <c r="A156" s="181"/>
      <c r="B156" s="179"/>
      <c r="C156" s="228" t="s">
        <v>4838</v>
      </c>
      <c r="D156" s="193"/>
      <c r="E156" s="193"/>
      <c r="F156" s="193"/>
      <c r="G156" s="193"/>
      <c r="H156" s="194"/>
      <c r="I156" s="179"/>
    </row>
    <row r="157" spans="1:9" ht="17">
      <c r="A157" s="181"/>
      <c r="B157" s="179"/>
      <c r="C157" s="192"/>
      <c r="D157" s="193"/>
      <c r="E157" s="193"/>
      <c r="F157" s="193"/>
      <c r="G157" s="193"/>
      <c r="H157" s="194"/>
      <c r="I157" s="179"/>
    </row>
    <row r="158" spans="1:9" ht="17">
      <c r="A158" s="181"/>
      <c r="B158" s="179"/>
      <c r="C158" s="197" t="s">
        <v>4897</v>
      </c>
      <c r="D158" s="199"/>
      <c r="E158" s="199"/>
      <c r="F158" s="198"/>
      <c r="G158" s="199"/>
      <c r="H158" s="200"/>
      <c r="I158" s="179"/>
    </row>
    <row r="159" spans="1:9" ht="17">
      <c r="A159" s="181"/>
      <c r="B159" s="179"/>
      <c r="C159" s="205"/>
      <c r="D159" s="179"/>
      <c r="E159" s="179"/>
      <c r="F159" s="179"/>
      <c r="G159" s="179"/>
      <c r="H159" s="179"/>
      <c r="I159" s="179"/>
    </row>
    <row r="160" spans="1:9" ht="26">
      <c r="A160" s="181"/>
      <c r="B160" s="184">
        <v>14</v>
      </c>
      <c r="C160" s="205" t="s">
        <v>2288</v>
      </c>
      <c r="D160" s="179"/>
      <c r="E160" s="179"/>
      <c r="F160" s="179"/>
      <c r="G160" s="179"/>
      <c r="H160" s="179"/>
      <c r="I160" s="179"/>
    </row>
    <row r="161" spans="1:9" ht="17">
      <c r="A161" s="181"/>
      <c r="B161" s="179"/>
      <c r="C161" s="188" t="s">
        <v>47</v>
      </c>
      <c r="D161" s="189" t="s">
        <v>3276</v>
      </c>
      <c r="E161" s="189" t="s">
        <v>3273</v>
      </c>
      <c r="F161" s="190" t="s">
        <v>3274</v>
      </c>
      <c r="G161" s="191" t="s">
        <v>4932</v>
      </c>
      <c r="H161" s="191" t="s">
        <v>2508</v>
      </c>
      <c r="I161" s="179"/>
    </row>
    <row r="162" spans="1:9" ht="17">
      <c r="A162" s="181"/>
      <c r="B162" s="179"/>
      <c r="C162" s="192" t="s">
        <v>4847</v>
      </c>
      <c r="D162" s="193"/>
      <c r="E162" s="193"/>
      <c r="F162" s="194"/>
      <c r="G162" s="195"/>
      <c r="H162" s="195"/>
      <c r="I162" s="179"/>
    </row>
    <row r="163" spans="1:9" ht="17">
      <c r="A163" s="181"/>
      <c r="B163" s="179"/>
      <c r="C163" s="229" t="s">
        <v>471</v>
      </c>
      <c r="D163" s="193"/>
      <c r="E163" s="193"/>
      <c r="F163" s="194"/>
      <c r="G163" s="195"/>
      <c r="H163" s="195"/>
      <c r="I163" s="179"/>
    </row>
    <row r="164" spans="1:9" ht="17">
      <c r="A164" s="181"/>
      <c r="B164" s="179"/>
      <c r="C164" s="229" t="s">
        <v>476</v>
      </c>
      <c r="D164" s="193"/>
      <c r="E164" s="193"/>
      <c r="F164" s="194"/>
      <c r="G164" s="195"/>
      <c r="H164" s="195"/>
      <c r="I164" s="179"/>
    </row>
    <row r="165" spans="1:9" ht="17">
      <c r="A165" s="181"/>
      <c r="B165" s="179"/>
      <c r="C165" s="229" t="s">
        <v>484</v>
      </c>
      <c r="D165" s="193"/>
      <c r="E165" s="193"/>
      <c r="F165" s="194"/>
      <c r="G165" s="195"/>
      <c r="H165" s="195"/>
      <c r="I165" s="179"/>
    </row>
    <row r="166" spans="1:9" ht="17">
      <c r="A166" s="181"/>
      <c r="B166" s="179"/>
      <c r="C166" s="229" t="s">
        <v>489</v>
      </c>
      <c r="D166" s="193"/>
      <c r="E166" s="193"/>
      <c r="F166" s="194"/>
      <c r="G166" s="195"/>
      <c r="H166" s="195"/>
      <c r="I166" s="179"/>
    </row>
    <row r="167" spans="1:9" ht="17">
      <c r="A167" s="181"/>
      <c r="B167" s="179"/>
      <c r="C167" s="229" t="s">
        <v>494</v>
      </c>
      <c r="D167" s="193"/>
      <c r="E167" s="193"/>
      <c r="F167" s="194"/>
      <c r="G167" s="195"/>
      <c r="H167" s="195"/>
      <c r="I167" s="179"/>
    </row>
    <row r="168" spans="1:9" ht="17">
      <c r="A168" s="181"/>
      <c r="B168" s="179"/>
      <c r="C168" s="229" t="s">
        <v>513</v>
      </c>
      <c r="D168" s="193"/>
      <c r="E168" s="193"/>
      <c r="F168" s="194"/>
      <c r="G168" s="195"/>
      <c r="H168" s="195"/>
      <c r="I168" s="179"/>
    </row>
    <row r="169" spans="1:9" ht="17">
      <c r="A169" s="181"/>
      <c r="B169" s="179"/>
      <c r="C169" s="229" t="s">
        <v>534</v>
      </c>
      <c r="D169" s="193"/>
      <c r="E169" s="193"/>
      <c r="F169" s="194"/>
      <c r="G169" s="195"/>
      <c r="H169" s="195"/>
      <c r="I169" s="179"/>
    </row>
    <row r="170" spans="1:9" ht="17">
      <c r="A170" s="181"/>
      <c r="B170" s="179"/>
      <c r="C170" s="192"/>
      <c r="D170" s="193"/>
      <c r="E170" s="193"/>
      <c r="F170" s="194"/>
      <c r="G170" s="195"/>
      <c r="H170" s="195"/>
      <c r="I170" s="179"/>
    </row>
    <row r="171" spans="1:9" ht="17">
      <c r="A171" s="181"/>
      <c r="B171" s="179"/>
      <c r="C171" s="228" t="s">
        <v>4848</v>
      </c>
      <c r="D171" s="193"/>
      <c r="E171" s="193"/>
      <c r="F171" s="194"/>
      <c r="G171" s="195"/>
      <c r="H171" s="195"/>
      <c r="I171" s="179"/>
    </row>
    <row r="172" spans="1:9" ht="17">
      <c r="A172" s="181"/>
      <c r="B172" s="179"/>
      <c r="C172" s="192" t="s">
        <v>4849</v>
      </c>
      <c r="D172" s="193"/>
      <c r="E172" s="193"/>
      <c r="F172" s="194"/>
      <c r="G172" s="195"/>
      <c r="H172" s="195"/>
      <c r="I172" s="179"/>
    </row>
    <row r="173" spans="1:9" ht="17">
      <c r="A173" s="181"/>
      <c r="B173" s="179"/>
      <c r="C173" s="192" t="s">
        <v>4850</v>
      </c>
      <c r="D173" s="193"/>
      <c r="E173" s="193"/>
      <c r="F173" s="194"/>
      <c r="G173" s="195"/>
      <c r="H173" s="195"/>
      <c r="I173" s="179"/>
    </row>
    <row r="174" spans="1:9" ht="26">
      <c r="A174" s="181"/>
      <c r="B174" s="179"/>
      <c r="C174" s="229" t="s">
        <v>4852</v>
      </c>
      <c r="D174" s="193"/>
      <c r="E174" s="193"/>
      <c r="F174" s="194"/>
      <c r="G174" s="195"/>
      <c r="H174" s="195"/>
      <c r="I174" s="179"/>
    </row>
    <row r="175" spans="1:9" ht="26">
      <c r="A175" s="181"/>
      <c r="B175" s="179"/>
      <c r="C175" s="229" t="s">
        <v>4853</v>
      </c>
      <c r="D175" s="193"/>
      <c r="E175" s="193"/>
      <c r="F175" s="194"/>
      <c r="G175" s="195"/>
      <c r="H175" s="195"/>
      <c r="I175" s="179"/>
    </row>
    <row r="176" spans="1:9" ht="26">
      <c r="A176" s="181"/>
      <c r="B176" s="179"/>
      <c r="C176" s="229" t="s">
        <v>4854</v>
      </c>
      <c r="D176" s="193"/>
      <c r="E176" s="193"/>
      <c r="F176" s="194"/>
      <c r="G176" s="195"/>
      <c r="H176" s="195"/>
      <c r="I176" s="179"/>
    </row>
    <row r="177" spans="1:9" ht="17">
      <c r="A177" s="181"/>
      <c r="B177" s="179"/>
      <c r="C177" s="229" t="s">
        <v>4855</v>
      </c>
      <c r="D177" s="193"/>
      <c r="E177" s="193"/>
      <c r="F177" s="194"/>
      <c r="G177" s="195"/>
      <c r="H177" s="195"/>
      <c r="I177" s="179"/>
    </row>
    <row r="178" spans="1:9" ht="17">
      <c r="A178" s="181"/>
      <c r="B178" s="179"/>
      <c r="C178" s="229" t="s">
        <v>4856</v>
      </c>
      <c r="D178" s="193"/>
      <c r="E178" s="193"/>
      <c r="F178" s="194"/>
      <c r="G178" s="195"/>
      <c r="H178" s="195"/>
      <c r="I178" s="179"/>
    </row>
    <row r="179" spans="1:9" ht="17">
      <c r="A179" s="181"/>
      <c r="B179" s="179"/>
      <c r="C179" s="192"/>
      <c r="D179" s="193"/>
      <c r="E179" s="193"/>
      <c r="F179" s="194"/>
      <c r="G179" s="195"/>
      <c r="H179" s="195"/>
      <c r="I179" s="179"/>
    </row>
    <row r="180" spans="1:9" ht="17">
      <c r="A180" s="181"/>
      <c r="B180" s="179"/>
      <c r="C180" s="192" t="s">
        <v>4857</v>
      </c>
      <c r="D180" s="193"/>
      <c r="E180" s="193"/>
      <c r="F180" s="194"/>
      <c r="G180" s="195"/>
      <c r="H180" s="195"/>
      <c r="I180" s="179"/>
    </row>
    <row r="181" spans="1:9" ht="17">
      <c r="A181" s="181"/>
      <c r="B181" s="179"/>
      <c r="C181" s="229" t="s">
        <v>4858</v>
      </c>
      <c r="D181" s="193"/>
      <c r="E181" s="193"/>
      <c r="F181" s="194"/>
      <c r="G181" s="195"/>
      <c r="H181" s="195"/>
      <c r="I181" s="179"/>
    </row>
    <row r="182" spans="1:9" ht="17">
      <c r="A182" s="181"/>
      <c r="B182" s="179"/>
      <c r="C182" s="192"/>
      <c r="D182" s="193"/>
      <c r="E182" s="193"/>
      <c r="F182" s="194"/>
      <c r="G182" s="195"/>
      <c r="H182" s="195"/>
      <c r="I182" s="179"/>
    </row>
    <row r="183" spans="1:9" ht="17">
      <c r="A183" s="181"/>
      <c r="B183" s="179"/>
      <c r="C183" s="228" t="s">
        <v>4851</v>
      </c>
      <c r="D183" s="193"/>
      <c r="E183" s="193"/>
      <c r="F183" s="194"/>
      <c r="G183" s="195"/>
      <c r="H183" s="195"/>
      <c r="I183" s="179"/>
    </row>
    <row r="184" spans="1:9" ht="17">
      <c r="A184" s="181"/>
      <c r="B184" s="179"/>
      <c r="C184" s="192"/>
      <c r="D184" s="196"/>
      <c r="E184" s="193"/>
      <c r="F184" s="216"/>
      <c r="G184" s="225"/>
      <c r="H184" s="195"/>
      <c r="I184" s="179"/>
    </row>
    <row r="185" spans="1:9" ht="17">
      <c r="A185" s="181"/>
      <c r="B185" s="179"/>
      <c r="C185" s="197" t="s">
        <v>4897</v>
      </c>
      <c r="D185" s="218"/>
      <c r="E185" s="218"/>
      <c r="F185" s="226"/>
      <c r="G185" s="227"/>
      <c r="H185" s="201"/>
      <c r="I185" s="179"/>
    </row>
    <row r="186" spans="1:9" ht="17">
      <c r="A186" s="181"/>
      <c r="B186" s="179"/>
      <c r="C186" s="182"/>
      <c r="D186" s="179"/>
      <c r="E186" s="179"/>
      <c r="F186" s="179"/>
      <c r="G186" s="179"/>
      <c r="H186" s="179"/>
      <c r="I186" s="179"/>
    </row>
    <row r="187" spans="1:9" ht="17">
      <c r="A187" s="181"/>
      <c r="B187" s="184">
        <v>15</v>
      </c>
      <c r="C187" s="205" t="s">
        <v>932</v>
      </c>
      <c r="D187" s="179"/>
      <c r="E187" s="179"/>
      <c r="F187" s="179"/>
      <c r="G187" s="179"/>
      <c r="H187" s="179"/>
      <c r="I187" s="179"/>
    </row>
    <row r="188" spans="1:9" ht="17">
      <c r="A188" s="181"/>
      <c r="B188" s="179"/>
      <c r="C188" s="188" t="s">
        <v>47</v>
      </c>
      <c r="D188" s="189" t="s">
        <v>2587</v>
      </c>
      <c r="E188" s="189" t="s">
        <v>4932</v>
      </c>
      <c r="F188" s="190" t="s">
        <v>2508</v>
      </c>
      <c r="G188" s="191"/>
      <c r="H188" s="191"/>
      <c r="I188" s="179"/>
    </row>
    <row r="189" spans="1:9" ht="17">
      <c r="A189" s="181"/>
      <c r="B189" s="179"/>
      <c r="C189" s="192"/>
      <c r="D189" s="193"/>
      <c r="E189" s="193"/>
      <c r="F189" s="194"/>
      <c r="G189" s="195"/>
      <c r="H189" s="195"/>
      <c r="I189" s="179"/>
    </row>
    <row r="190" spans="1:9" ht="17">
      <c r="A190" s="181"/>
      <c r="B190" s="179"/>
      <c r="C190" s="192"/>
      <c r="D190" s="193"/>
      <c r="E190" s="193"/>
      <c r="F190" s="194"/>
      <c r="G190" s="195"/>
      <c r="H190" s="195"/>
      <c r="I190" s="179"/>
    </row>
    <row r="191" spans="1:9" ht="17">
      <c r="A191" s="181"/>
      <c r="B191" s="179"/>
      <c r="C191" s="192"/>
      <c r="D191" s="196"/>
      <c r="E191" s="193"/>
      <c r="F191" s="194"/>
      <c r="G191" s="195"/>
      <c r="H191" s="195"/>
      <c r="I191" s="179"/>
    </row>
    <row r="192" spans="1:9" ht="17">
      <c r="A192" s="181"/>
      <c r="B192" s="179"/>
      <c r="C192" s="197" t="s">
        <v>4897</v>
      </c>
      <c r="D192" s="198"/>
      <c r="E192" s="199"/>
      <c r="F192" s="200"/>
      <c r="G192" s="201"/>
      <c r="H192" s="201"/>
      <c r="I192" s="179"/>
    </row>
    <row r="193" spans="1:9" ht="17">
      <c r="A193" s="181"/>
      <c r="B193" s="179"/>
      <c r="C193" s="182"/>
      <c r="D193" s="179"/>
      <c r="E193" s="179"/>
      <c r="F193" s="179"/>
      <c r="G193" s="179"/>
      <c r="H193" s="179"/>
      <c r="I193" s="179"/>
    </row>
    <row r="194" spans="1:9" ht="17">
      <c r="A194" s="181"/>
      <c r="B194" s="186"/>
      <c r="C194" s="231"/>
      <c r="D194" s="186"/>
      <c r="E194" s="186"/>
      <c r="F194" s="186"/>
      <c r="G194" s="186"/>
      <c r="H194" s="186"/>
      <c r="I194" s="186"/>
    </row>
    <row r="195" spans="1:9" ht="17">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09765625" defaultRowHeight="13"/>
  <cols>
    <col min="1" max="12" width="9.09765625" style="2806"/>
    <col min="13" max="13" width="25.8984375" style="2806" customWidth="1"/>
    <col min="14" max="16384" width="9.09765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6644</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6645</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43864.448807870402</v>
      </c>
    </row>
    <row r="16" spans="1:28">
      <c r="L16" s="2806" t="s">
        <v>4969</v>
      </c>
      <c r="M16" s="2806" t="s">
        <v>6657</v>
      </c>
    </row>
    <row r="17" spans="12:13">
      <c r="L17" s="2806" t="s">
        <v>4970</v>
      </c>
    </row>
    <row r="18" spans="12:13">
      <c r="L18" s="2806" t="s">
        <v>4971</v>
      </c>
    </row>
    <row r="19" spans="12:13">
      <c r="L19" s="2806" t="s">
        <v>4972</v>
      </c>
      <c r="M19" s="2806" t="s">
        <v>6646</v>
      </c>
    </row>
    <row r="20" spans="12:13">
      <c r="L20" s="2806" t="s">
        <v>4973</v>
      </c>
      <c r="M20" s="2806" t="s">
        <v>6647</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6648</v>
      </c>
    </row>
    <row r="25" spans="12:13">
      <c r="L25" s="2806" t="s">
        <v>4978</v>
      </c>
    </row>
    <row r="26" spans="12:13">
      <c r="L26" s="2806" t="s">
        <v>4979</v>
      </c>
      <c r="M26" s="2806" t="s">
        <v>5881</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5882</v>
      </c>
      <c r="M31" s="2806" t="s">
        <v>6609</v>
      </c>
    </row>
    <row r="32" spans="12:13">
      <c r="L32" s="2806" t="s">
        <v>5883</v>
      </c>
      <c r="M32" s="2806" t="s">
        <v>5881</v>
      </c>
    </row>
    <row r="33" spans="12:13">
      <c r="L33" s="2806" t="s">
        <v>5884</v>
      </c>
    </row>
    <row r="34" spans="12:13">
      <c r="L34" s="2806" t="s">
        <v>5885</v>
      </c>
      <c r="M34" s="2807">
        <v>43116.357164351903</v>
      </c>
    </row>
    <row r="35" spans="12:13">
      <c r="L35" s="2806" t="s">
        <v>5886</v>
      </c>
      <c r="M35" s="2807">
        <v>43116.356446759302</v>
      </c>
    </row>
    <row r="36" spans="12:13">
      <c r="L36" s="2806" t="s">
        <v>5887</v>
      </c>
      <c r="M36" s="2807">
        <v>43296.368472222202</v>
      </c>
    </row>
    <row r="37" spans="12:13">
      <c r="L37" s="2806" t="s">
        <v>5888</v>
      </c>
    </row>
    <row r="38" spans="12:13">
      <c r="L38" s="2806" t="s">
        <v>5889</v>
      </c>
      <c r="M38" s="2807">
        <v>43646.682407407403</v>
      </c>
    </row>
    <row r="39" spans="12:13">
      <c r="L39" s="2806" t="s">
        <v>5890</v>
      </c>
      <c r="M39" s="2806" t="s">
        <v>4984</v>
      </c>
    </row>
    <row r="40" spans="12:13">
      <c r="L40" s="2806" t="s">
        <v>5891</v>
      </c>
    </row>
    <row r="41" spans="12:13">
      <c r="L41" s="2806" t="s">
        <v>5892</v>
      </c>
    </row>
    <row r="42" spans="12:13">
      <c r="L42" s="2806" t="s">
        <v>5893</v>
      </c>
    </row>
    <row r="43" spans="12:13">
      <c r="L43" s="2806" t="s">
        <v>5894</v>
      </c>
    </row>
    <row r="44" spans="12:13">
      <c r="L44" s="2806" t="s">
        <v>5895</v>
      </c>
    </row>
    <row r="45" spans="12:13">
      <c r="L45" s="2806" t="s">
        <v>5896</v>
      </c>
    </row>
    <row r="46" spans="12:13">
      <c r="L46" s="2806" t="s">
        <v>5897</v>
      </c>
    </row>
    <row r="47" spans="12:13">
      <c r="L47" s="2806" t="s">
        <v>5898</v>
      </c>
    </row>
    <row r="48" spans="12:13">
      <c r="L48" s="2806" t="s">
        <v>5899</v>
      </c>
    </row>
    <row r="49" spans="12:13">
      <c r="L49" s="2806" t="s">
        <v>5900</v>
      </c>
    </row>
    <row r="50" spans="12:13">
      <c r="L50" s="2806" t="s">
        <v>5901</v>
      </c>
      <c r="M50" s="2806" t="s">
        <v>6649</v>
      </c>
    </row>
  </sheetData>
  <sheetProtection algorithmName="SHA-512" hashValue="nnJGyN3+Y9aSqzSZvbOwJq9GMmcZS4JO8zYBWTtw8LQxJ8F3vjMegqUntXmoTewNiE1ouUYbQommeDW4KzKHsQ==" saltValue="i0NXmRw08d72oOLDp2vMcg=="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3"/>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3"/>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3"/>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09765625" defaultRowHeight="13"/>
  <cols>
    <col min="1" max="1" width="4.296875" style="1" customWidth="1"/>
    <col min="2" max="2" width="6.69921875" style="1" customWidth="1"/>
    <col min="3" max="3" width="25.8984375" style="1" customWidth="1"/>
    <col min="4" max="4" width="14.69921875" style="1" customWidth="1"/>
    <col min="5" max="5" width="9.69921875" style="1" customWidth="1"/>
    <col min="6" max="6" width="14.69921875" style="1" customWidth="1"/>
    <col min="7" max="8" width="9.69921875" style="1" customWidth="1"/>
    <col min="9" max="9" width="12.69921875" style="1" customWidth="1"/>
    <col min="10" max="10" width="9.69921875" style="1" customWidth="1"/>
    <col min="11" max="11" width="17.69921875" style="1" customWidth="1"/>
    <col min="12" max="16384" width="9.09765625" style="1"/>
  </cols>
  <sheetData>
    <row r="2" spans="1:11" ht="18" customHeight="1">
      <c r="B2" s="2" t="s">
        <v>2520</v>
      </c>
      <c r="C2" s="3" t="str">
        <f>Lead!$C$5</f>
        <v>余江县天骏投资管理有限公司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43864</v>
      </c>
      <c r="J3" s="14" t="s">
        <v>2524</v>
      </c>
      <c r="K3" s="2745" t="s">
        <v>6597</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7">
      <c r="A8" s="24"/>
      <c r="B8" s="131"/>
      <c r="C8" s="132"/>
      <c r="D8" s="133" t="s">
        <v>4987</v>
      </c>
      <c r="E8" s="26"/>
      <c r="F8" s="133" t="s">
        <v>4988</v>
      </c>
      <c r="G8" s="28"/>
      <c r="H8" s="28" t="s">
        <v>4989</v>
      </c>
      <c r="I8" s="133" t="s">
        <v>4990</v>
      </c>
      <c r="J8" s="26"/>
      <c r="K8" s="158"/>
    </row>
    <row r="9" spans="1:11" ht="17">
      <c r="A9" s="30"/>
      <c r="B9" s="134" t="s">
        <v>4991</v>
      </c>
      <c r="C9" s="135" t="s">
        <v>2529</v>
      </c>
      <c r="D9" s="136" t="s">
        <v>2887</v>
      </c>
      <c r="E9" s="137" t="s">
        <v>4992</v>
      </c>
      <c r="F9" s="138" t="s">
        <v>2887</v>
      </c>
      <c r="G9" s="138" t="s">
        <v>4992</v>
      </c>
      <c r="H9" s="139" t="s">
        <v>4993</v>
      </c>
      <c r="I9" s="137" t="s">
        <v>4994</v>
      </c>
      <c r="J9" s="137" t="s">
        <v>4995</v>
      </c>
      <c r="K9" s="159" t="s">
        <v>4996</v>
      </c>
    </row>
    <row r="10" spans="1:11" ht="17">
      <c r="A10" s="30"/>
      <c r="B10" s="140"/>
      <c r="C10" s="141"/>
      <c r="D10" s="142" t="s">
        <v>4997</v>
      </c>
      <c r="E10" s="143" t="s">
        <v>4998</v>
      </c>
      <c r="F10" s="144" t="s">
        <v>4999</v>
      </c>
      <c r="G10" s="144" t="s">
        <v>5000</v>
      </c>
      <c r="H10" s="145" t="s">
        <v>5001</v>
      </c>
      <c r="I10" s="160" t="s">
        <v>5002</v>
      </c>
      <c r="J10" s="160" t="s">
        <v>5003</v>
      </c>
      <c r="K10" s="161"/>
    </row>
    <row r="11" spans="1:11" ht="17">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7">
      <c r="A12" s="30"/>
      <c r="B12" s="150">
        <v>1000</v>
      </c>
      <c r="C12" s="151" t="str">
        <f t="shared" si="0"/>
        <v>流动资产：</v>
      </c>
      <c r="D12" s="70"/>
      <c r="E12" s="152"/>
      <c r="F12" s="70"/>
      <c r="G12" s="152"/>
      <c r="H12" s="149"/>
      <c r="I12" s="148"/>
      <c r="J12" s="149" t="str">
        <f t="shared" si="1"/>
        <v/>
      </c>
      <c r="K12" s="163"/>
    </row>
    <row r="13" spans="1:11" ht="17">
      <c r="A13" s="30"/>
      <c r="B13" s="150">
        <v>1015</v>
      </c>
      <c r="C13" s="151" t="str">
        <f t="shared" si="0"/>
        <v>货币资金</v>
      </c>
      <c r="D13" s="70">
        <f t="shared" ref="D13:D27" si="2">VLOOKUP($B13,Sheet_Trialbal,10,0)</f>
        <v>17805.68</v>
      </c>
      <c r="E13" s="152">
        <f>IF(D$55=0,"",D13/D$55)</f>
        <v>0.97370000000000001</v>
      </c>
      <c r="F13" s="70">
        <f t="shared" ref="F13:F27" si="3">VLOOKUP($B13,Sheet_Trialbal,3,0)</f>
        <v>15480.77</v>
      </c>
      <c r="G13" s="152">
        <f>IF(F$55=0,"",F13/F$55)</f>
        <v>0.96989999999999998</v>
      </c>
      <c r="H13" s="152">
        <f t="shared" ref="H13:H30" si="4">IF(OR(G13="",E13=""),"",G13-E13)</f>
        <v>-3.8E-3</v>
      </c>
      <c r="I13" s="70">
        <f t="shared" ref="I13" si="5">IF(OR(F13="",D13=""),"",F13-D13)</f>
        <v>-2324.91</v>
      </c>
      <c r="J13" s="152">
        <f t="shared" si="1"/>
        <v>-0.13059999999999999</v>
      </c>
      <c r="K13" s="163"/>
    </row>
    <row r="14" spans="1:11" ht="17">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6">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7">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7">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7">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7">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7">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7">
      <c r="A21" s="30"/>
      <c r="B21" s="150">
        <v>1220</v>
      </c>
      <c r="C21" s="151" t="str">
        <f>IF($B21="","",VLOOKUP($B21,Sheet_Items,2,0))</f>
        <v>其他应收款（报表项目）</v>
      </c>
      <c r="D21" s="70">
        <f t="shared" si="2"/>
        <v>0</v>
      </c>
      <c r="E21" s="152">
        <f t="shared" si="6"/>
        <v>0</v>
      </c>
      <c r="F21" s="70">
        <f t="shared" si="3"/>
        <v>0</v>
      </c>
      <c r="G21" s="152">
        <f t="shared" si="7"/>
        <v>0</v>
      </c>
      <c r="H21" s="152">
        <f t="shared" si="8"/>
        <v>0</v>
      </c>
      <c r="I21" s="70">
        <f t="shared" si="9"/>
        <v>0</v>
      </c>
      <c r="J21" s="152" t="str">
        <f t="shared" si="10"/>
        <v/>
      </c>
      <c r="K21" s="163"/>
    </row>
    <row r="22" spans="1:11" ht="17">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7">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7">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7">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7">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7">
      <c r="A27" s="30"/>
      <c r="B27" s="150">
        <v>1496</v>
      </c>
      <c r="C27" s="151" t="str">
        <f t="shared" si="0"/>
        <v>其他流动资产</v>
      </c>
      <c r="D27" s="70">
        <f t="shared" si="2"/>
        <v>480</v>
      </c>
      <c r="E27" s="152">
        <f t="shared" si="6"/>
        <v>2.63E-2</v>
      </c>
      <c r="F27" s="70">
        <f t="shared" si="3"/>
        <v>480</v>
      </c>
      <c r="G27" s="152">
        <f t="shared" si="7"/>
        <v>3.0099999999999998E-2</v>
      </c>
      <c r="H27" s="152">
        <f t="shared" si="8"/>
        <v>3.8E-3</v>
      </c>
      <c r="I27" s="70">
        <f t="shared" si="9"/>
        <v>0</v>
      </c>
      <c r="J27" s="152">
        <f t="shared" si="10"/>
        <v>0</v>
      </c>
      <c r="K27" s="163"/>
    </row>
    <row r="28" spans="1:11" ht="17">
      <c r="A28" s="30"/>
      <c r="B28" s="150">
        <v>1498</v>
      </c>
      <c r="C28" s="153" t="str">
        <f t="shared" si="0"/>
        <v>流动资产合计</v>
      </c>
      <c r="D28" s="154">
        <f>SUM(D13:D27)-SUM(D22,D23)</f>
        <v>18285.68</v>
      </c>
      <c r="E28" s="154">
        <f>SUM(E13:E27)-SUM(E22,E23)</f>
        <v>1</v>
      </c>
      <c r="F28" s="154">
        <f t="shared" ref="F28:I28" si="11">SUM(F13:F27)-SUM(F22,F23)</f>
        <v>15960.77</v>
      </c>
      <c r="G28" s="154">
        <f t="shared" si="11"/>
        <v>1</v>
      </c>
      <c r="H28" s="154">
        <f t="shared" si="11"/>
        <v>0</v>
      </c>
      <c r="I28" s="154">
        <f t="shared" si="11"/>
        <v>-2324.91</v>
      </c>
      <c r="J28" s="152">
        <f t="shared" si="10"/>
        <v>-0.12709999999999999</v>
      </c>
      <c r="K28" s="163"/>
    </row>
    <row r="29" spans="1:11" ht="17">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7">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7">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7">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7">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7">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7">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7">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7">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7">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7">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7">
      <c r="A40" s="30"/>
      <c r="B40" s="150">
        <v>1611</v>
      </c>
      <c r="C40" s="151" t="str">
        <f>IF($B40="","",VLOOKUP($B40,Sheet_Items,2,0))</f>
        <v>固定资产（报表项目）</v>
      </c>
      <c r="D40" s="70">
        <f t="shared" si="13"/>
        <v>0</v>
      </c>
      <c r="E40" s="152">
        <f t="shared" si="15"/>
        <v>0</v>
      </c>
      <c r="F40" s="70">
        <f t="shared" si="14"/>
        <v>0</v>
      </c>
      <c r="G40" s="152">
        <f t="shared" si="16"/>
        <v>0</v>
      </c>
      <c r="H40" s="152">
        <f t="shared" si="17"/>
        <v>0</v>
      </c>
      <c r="I40" s="70">
        <f t="shared" si="18"/>
        <v>0</v>
      </c>
      <c r="J40" s="152" t="str">
        <f t="shared" si="19"/>
        <v/>
      </c>
      <c r="K40" s="163"/>
    </row>
    <row r="41" spans="1:11" ht="17">
      <c r="A41" s="30"/>
      <c r="B41" s="150">
        <v>1601</v>
      </c>
      <c r="C41" s="151" t="str">
        <f t="shared" si="0"/>
        <v>其中：固定资产</v>
      </c>
      <c r="D41" s="70">
        <f t="shared" si="13"/>
        <v>0</v>
      </c>
      <c r="E41" s="152">
        <f t="shared" si="15"/>
        <v>0</v>
      </c>
      <c r="F41" s="70">
        <f t="shared" si="14"/>
        <v>0</v>
      </c>
      <c r="G41" s="152">
        <f t="shared" si="16"/>
        <v>0</v>
      </c>
      <c r="H41" s="152">
        <f t="shared" si="17"/>
        <v>0</v>
      </c>
      <c r="I41" s="70">
        <f t="shared" si="18"/>
        <v>0</v>
      </c>
      <c r="J41" s="152" t="str">
        <f t="shared" si="19"/>
        <v/>
      </c>
      <c r="K41" s="163"/>
    </row>
    <row r="42" spans="1:11" ht="17">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7">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7">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7">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7">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7">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7">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7">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7">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7">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7">
      <c r="A52" s="30"/>
      <c r="B52" s="150">
        <v>1811</v>
      </c>
      <c r="C52" s="151" t="str">
        <f t="shared" si="0"/>
        <v>递延所得税资产</v>
      </c>
      <c r="D52" s="70">
        <f t="shared" si="13"/>
        <v>0</v>
      </c>
      <c r="E52" s="152">
        <f t="shared" si="15"/>
        <v>0</v>
      </c>
      <c r="F52" s="70">
        <f t="shared" si="14"/>
        <v>0</v>
      </c>
      <c r="G52" s="152">
        <f t="shared" si="16"/>
        <v>0</v>
      </c>
      <c r="H52" s="152">
        <f t="shared" si="17"/>
        <v>0</v>
      </c>
      <c r="I52" s="70">
        <f t="shared" si="18"/>
        <v>0</v>
      </c>
      <c r="J52" s="152" t="str">
        <f t="shared" si="19"/>
        <v/>
      </c>
      <c r="K52" s="163"/>
    </row>
    <row r="53" spans="1:11" ht="17">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7">
      <c r="A54" s="30"/>
      <c r="B54" s="150">
        <v>1998</v>
      </c>
      <c r="C54" s="153" t="str">
        <f t="shared" ref="C54:C93" si="20">IF($B54="","",VLOOKUP($B54,Sheet_Items,6,0))</f>
        <v>非流动资产合计</v>
      </c>
      <c r="D54" s="154">
        <f>SUM(D30:D53)-SUM(D41,D42,D44,D45)</f>
        <v>0</v>
      </c>
      <c r="E54" s="156">
        <f t="shared" ref="E54:I54" si="21">SUM(E30:E53)-SUM(E41,E42,E44,E45)</f>
        <v>0</v>
      </c>
      <c r="F54" s="154">
        <f t="shared" si="21"/>
        <v>0</v>
      </c>
      <c r="G54" s="156">
        <f t="shared" si="21"/>
        <v>0</v>
      </c>
      <c r="H54" s="156">
        <f t="shared" si="21"/>
        <v>0</v>
      </c>
      <c r="I54" s="154">
        <f t="shared" si="21"/>
        <v>0</v>
      </c>
      <c r="J54" s="152" t="str">
        <f t="shared" si="1"/>
        <v/>
      </c>
      <c r="K54" s="163"/>
    </row>
    <row r="55" spans="1:11" ht="17">
      <c r="A55" s="30"/>
      <c r="B55" s="150">
        <v>1999</v>
      </c>
      <c r="C55" s="153" t="str">
        <f t="shared" si="20"/>
        <v>资产总计</v>
      </c>
      <c r="D55" s="154">
        <f t="shared" ref="D55:I55" si="22">SUM(D28,D54)</f>
        <v>18285.68</v>
      </c>
      <c r="E55" s="156">
        <f t="shared" si="22"/>
        <v>1</v>
      </c>
      <c r="F55" s="154">
        <f t="shared" si="22"/>
        <v>15960.77</v>
      </c>
      <c r="G55" s="156">
        <f t="shared" si="22"/>
        <v>1</v>
      </c>
      <c r="H55" s="156">
        <f t="shared" si="22"/>
        <v>0</v>
      </c>
      <c r="I55" s="154">
        <f t="shared" si="22"/>
        <v>-2324.91</v>
      </c>
      <c r="J55" s="155">
        <f t="shared" ref="J55:J93" si="23">IF(OR(I55="",D55="",D55=0),"",I55/D55)</f>
        <v>-0.12709999999999999</v>
      </c>
      <c r="K55" s="163"/>
    </row>
    <row r="56" spans="1:11" ht="17">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7">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7">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6">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7">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7">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7">
      <c r="A62" s="30"/>
      <c r="B62" s="150">
        <v>2202</v>
      </c>
      <c r="C62" s="151" t="str">
        <f t="shared" si="20"/>
        <v>应付账款</v>
      </c>
      <c r="D62" s="70">
        <f t="shared" si="26"/>
        <v>0</v>
      </c>
      <c r="E62" s="152">
        <f t="shared" si="28"/>
        <v>0</v>
      </c>
      <c r="F62" s="70">
        <f t="shared" si="27"/>
        <v>0</v>
      </c>
      <c r="G62" s="152">
        <f t="shared" si="29"/>
        <v>0</v>
      </c>
      <c r="H62" s="152">
        <f t="shared" si="30"/>
        <v>0</v>
      </c>
      <c r="I62" s="70">
        <f t="shared" si="31"/>
        <v>0</v>
      </c>
      <c r="J62" s="152" t="str">
        <f t="shared" si="32"/>
        <v/>
      </c>
      <c r="K62" s="163"/>
    </row>
    <row r="63" spans="1:11" ht="17">
      <c r="A63" s="30"/>
      <c r="B63" s="150">
        <v>2205</v>
      </c>
      <c r="C63" s="151" t="str">
        <f t="shared" si="20"/>
        <v>预收款项</v>
      </c>
      <c r="D63" s="70">
        <f t="shared" si="26"/>
        <v>0</v>
      </c>
      <c r="E63" s="152">
        <f t="shared" si="28"/>
        <v>0</v>
      </c>
      <c r="F63" s="70">
        <f t="shared" si="27"/>
        <v>0</v>
      </c>
      <c r="G63" s="152">
        <f t="shared" si="29"/>
        <v>0</v>
      </c>
      <c r="H63" s="152">
        <f t="shared" si="30"/>
        <v>0</v>
      </c>
      <c r="I63" s="70">
        <f t="shared" si="31"/>
        <v>0</v>
      </c>
      <c r="J63" s="152" t="str">
        <f t="shared" si="32"/>
        <v/>
      </c>
      <c r="K63" s="163"/>
    </row>
    <row r="64" spans="1:11" ht="17">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7">
      <c r="A65" s="30"/>
      <c r="B65" s="150">
        <v>2221</v>
      </c>
      <c r="C65" s="151" t="str">
        <f t="shared" si="20"/>
        <v>应交税费</v>
      </c>
      <c r="D65" s="70">
        <f t="shared" si="26"/>
        <v>0</v>
      </c>
      <c r="E65" s="152">
        <f t="shared" si="28"/>
        <v>0</v>
      </c>
      <c r="F65" s="70">
        <f t="shared" si="27"/>
        <v>0</v>
      </c>
      <c r="G65" s="152">
        <f t="shared" si="29"/>
        <v>0</v>
      </c>
      <c r="H65" s="152">
        <f t="shared" si="30"/>
        <v>0</v>
      </c>
      <c r="I65" s="70">
        <f t="shared" si="31"/>
        <v>0</v>
      </c>
      <c r="J65" s="152" t="str">
        <f t="shared" si="32"/>
        <v/>
      </c>
      <c r="K65" s="163"/>
    </row>
    <row r="66" spans="1:11" ht="17">
      <c r="A66" s="30"/>
      <c r="B66" s="150">
        <v>2246</v>
      </c>
      <c r="C66" s="151" t="str">
        <f>IF($B66="","",VLOOKUP($B66,Sheet_Items,2,0))</f>
        <v>其他应付款（报表项目）</v>
      </c>
      <c r="D66" s="70">
        <f t="shared" si="26"/>
        <v>20000</v>
      </c>
      <c r="E66" s="152">
        <f t="shared" si="28"/>
        <v>1</v>
      </c>
      <c r="F66" s="70">
        <f t="shared" si="27"/>
        <v>20000</v>
      </c>
      <c r="G66" s="152">
        <f t="shared" si="29"/>
        <v>1</v>
      </c>
      <c r="H66" s="152">
        <f t="shared" si="30"/>
        <v>0</v>
      </c>
      <c r="I66" s="70">
        <f t="shared" si="31"/>
        <v>0</v>
      </c>
      <c r="J66" s="152">
        <f t="shared" si="32"/>
        <v>0</v>
      </c>
      <c r="K66" s="163"/>
    </row>
    <row r="67" spans="1:11" ht="17">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7">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7">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7">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7">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7">
      <c r="A72" s="30"/>
      <c r="B72" s="150">
        <v>2498</v>
      </c>
      <c r="C72" s="153" t="str">
        <f t="shared" si="20"/>
        <v>流动负债合计</v>
      </c>
      <c r="D72" s="154">
        <f>SUM(D57:D71)-SUM(D67,D68)</f>
        <v>20000</v>
      </c>
      <c r="E72" s="156">
        <f t="shared" ref="E72:I72" si="33">SUM(E57:E71)-SUM(E67,E68)</f>
        <v>1</v>
      </c>
      <c r="F72" s="154">
        <f t="shared" si="33"/>
        <v>20000</v>
      </c>
      <c r="G72" s="156">
        <f t="shared" si="33"/>
        <v>1</v>
      </c>
      <c r="H72" s="156">
        <f t="shared" si="33"/>
        <v>0</v>
      </c>
      <c r="I72" s="154">
        <f t="shared" si="33"/>
        <v>0</v>
      </c>
      <c r="J72" s="152">
        <f t="shared" si="23"/>
        <v>0</v>
      </c>
      <c r="K72" s="163"/>
    </row>
    <row r="73" spans="1:11" ht="17">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7">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7">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7">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7">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7">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7">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7">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7">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7">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7">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7">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7">
      <c r="A85" s="30"/>
      <c r="B85" s="150">
        <v>2999</v>
      </c>
      <c r="C85" s="153" t="str">
        <f t="shared" si="20"/>
        <v>负债合计</v>
      </c>
      <c r="D85" s="154">
        <f>SUM(D72,D84)</f>
        <v>20000</v>
      </c>
      <c r="E85" s="156">
        <f>SUM(E72,E84)</f>
        <v>1</v>
      </c>
      <c r="F85" s="154">
        <f>SUM(F72,F84)</f>
        <v>20000</v>
      </c>
      <c r="G85" s="156">
        <f>SUM(G72,G84)</f>
        <v>1</v>
      </c>
      <c r="H85" s="156"/>
      <c r="I85" s="154">
        <f>SUM(I72,I84)</f>
        <v>0</v>
      </c>
      <c r="J85" s="155">
        <f t="shared" si="23"/>
        <v>0</v>
      </c>
      <c r="K85" s="163"/>
    </row>
    <row r="86" spans="1:11" ht="17">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7">
      <c r="A87" s="30"/>
      <c r="B87" s="150">
        <v>4001</v>
      </c>
      <c r="C87" s="151" t="str">
        <f t="shared" si="20"/>
        <v>股本</v>
      </c>
      <c r="D87" s="70">
        <f t="shared" ref="D87:D95" si="42">VLOOKUP($B87,Sheet_Trialbal,10,0)</f>
        <v>0</v>
      </c>
      <c r="E87" s="152">
        <f t="shared" ref="E87:E97" si="43">IF(D$98=0,"",D87/D$98)</f>
        <v>0</v>
      </c>
      <c r="F87" s="70">
        <f t="shared" ref="F87:F95" si="44">VLOOKUP($B87,Sheet_Trialbal,3,0)</f>
        <v>0</v>
      </c>
      <c r="G87" s="152">
        <f t="shared" ref="G87:G97" si="45">IF(F$98=0,"",F87/F$98)</f>
        <v>0</v>
      </c>
      <c r="H87" s="152">
        <f t="shared" si="40"/>
        <v>0</v>
      </c>
      <c r="I87" s="70">
        <f t="shared" si="41"/>
        <v>0</v>
      </c>
      <c r="J87" s="152" t="str">
        <f t="shared" si="23"/>
        <v/>
      </c>
      <c r="K87" s="163"/>
    </row>
    <row r="88" spans="1:11" ht="17">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7">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7">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7">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7">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7">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7">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7">
      <c r="A95" s="30"/>
      <c r="B95" s="150">
        <v>4200</v>
      </c>
      <c r="C95" s="151" t="str">
        <f t="shared" si="46"/>
        <v>未分配利润</v>
      </c>
      <c r="D95" s="70">
        <f t="shared" si="42"/>
        <v>-1714.32</v>
      </c>
      <c r="E95" s="152">
        <f t="shared" si="43"/>
        <v>1</v>
      </c>
      <c r="F95" s="70">
        <f t="shared" si="44"/>
        <v>-4039.23</v>
      </c>
      <c r="G95" s="152">
        <f t="shared" si="45"/>
        <v>1</v>
      </c>
      <c r="H95" s="152">
        <f t="shared" si="40"/>
        <v>0</v>
      </c>
      <c r="I95" s="70">
        <f t="shared" si="41"/>
        <v>-2324.91</v>
      </c>
      <c r="J95" s="152">
        <f t="shared" si="47"/>
        <v>1.3562000000000001</v>
      </c>
      <c r="K95" s="163"/>
    </row>
    <row r="96" spans="1:11" ht="17">
      <c r="A96" s="30"/>
      <c r="B96" s="150">
        <v>4298</v>
      </c>
      <c r="C96" s="164" t="str">
        <f t="shared" si="46"/>
        <v>归属于母公司所有者权益合计</v>
      </c>
      <c r="D96" s="154">
        <f>SUM(D87:D89,-D90,D91:D95)</f>
        <v>-1714.32</v>
      </c>
      <c r="E96" s="155">
        <f t="shared" si="43"/>
        <v>1</v>
      </c>
      <c r="F96" s="154">
        <f>SUM(F87:F89,-F90,F91:F95)</f>
        <v>-4039.23</v>
      </c>
      <c r="G96" s="155">
        <f t="shared" si="45"/>
        <v>1</v>
      </c>
      <c r="H96" s="155">
        <f t="shared" si="40"/>
        <v>0</v>
      </c>
      <c r="I96" s="154">
        <f>SUM(I87:I89,-I90,I91:I95)</f>
        <v>-2324.91</v>
      </c>
      <c r="J96" s="152">
        <f t="shared" si="47"/>
        <v>1.3562000000000001</v>
      </c>
      <c r="K96" s="163"/>
    </row>
    <row r="97" spans="1:11" ht="17">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7">
      <c r="A98" s="30"/>
      <c r="B98" s="150">
        <v>4999</v>
      </c>
      <c r="C98" s="164" t="str">
        <f t="shared" si="46"/>
        <v>所有者权益合计</v>
      </c>
      <c r="D98" s="154">
        <f t="shared" ref="D98:I98" si="48">SUM(D96,D97)</f>
        <v>-1714.32</v>
      </c>
      <c r="E98" s="156">
        <f t="shared" si="48"/>
        <v>1</v>
      </c>
      <c r="F98" s="154">
        <f t="shared" si="48"/>
        <v>-4039.23</v>
      </c>
      <c r="G98" s="156">
        <f t="shared" si="48"/>
        <v>1</v>
      </c>
      <c r="H98" s="156">
        <f t="shared" si="48"/>
        <v>0</v>
      </c>
      <c r="I98" s="154">
        <f t="shared" si="48"/>
        <v>-2324.91</v>
      </c>
      <c r="J98" s="152">
        <f t="shared" si="47"/>
        <v>1.3562000000000001</v>
      </c>
      <c r="K98" s="163"/>
    </row>
    <row r="99" spans="1:11" ht="17">
      <c r="A99" s="30"/>
      <c r="B99" s="150">
        <v>5000</v>
      </c>
      <c r="C99" s="153" t="str">
        <f t="shared" si="46"/>
        <v>负债和所有者权益总计</v>
      </c>
      <c r="D99" s="154">
        <f>SUM(D85,D98)</f>
        <v>18285.68</v>
      </c>
      <c r="E99" s="152"/>
      <c r="F99" s="154">
        <f>SUM(F85,F98)</f>
        <v>15960.77</v>
      </c>
      <c r="G99" s="152"/>
      <c r="H99" s="152" t="str">
        <f t="shared" ref="H99:H101" si="49">IF(OR(G99="",E99=""),"",G99-E99)</f>
        <v/>
      </c>
      <c r="I99" s="154">
        <f>SUM(I85,I98)</f>
        <v>-2324.91</v>
      </c>
      <c r="J99" s="152">
        <f t="shared" si="47"/>
        <v>-0.12709999999999999</v>
      </c>
      <c r="K99" s="163"/>
    </row>
    <row r="100" spans="1:11" ht="17">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7">
      <c r="A101" s="30"/>
      <c r="B101" s="150">
        <v>6001</v>
      </c>
      <c r="C101" s="151" t="str">
        <f t="shared" ref="C101:C124" si="51">IF($B101="","",VLOOKUP($B101,Sheet_Items,2,0))</f>
        <v>营业收入</v>
      </c>
      <c r="D101" s="70">
        <f t="shared" ref="D101:D114" si="52">VLOOKUP($B101,Sheet_Trialbal,10,0)</f>
        <v>0</v>
      </c>
      <c r="E101" s="152"/>
      <c r="F101" s="70">
        <f t="shared" ref="F101:F114" si="53">VLOOKUP($B101,Sheet_Trialbal,3,0)</f>
        <v>0</v>
      </c>
      <c r="G101" s="152"/>
      <c r="H101" s="152" t="str">
        <f t="shared" si="49"/>
        <v/>
      </c>
      <c r="I101" s="70">
        <f t="shared" si="50"/>
        <v>0</v>
      </c>
      <c r="J101" s="152" t="str">
        <f t="shared" si="47"/>
        <v/>
      </c>
      <c r="K101" s="163"/>
    </row>
    <row r="102" spans="1:11" ht="17">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7">
      <c r="A103" s="30"/>
      <c r="B103" s="150">
        <v>6600</v>
      </c>
      <c r="C103" s="151" t="str">
        <f t="shared" si="51"/>
        <v>税金及附加</v>
      </c>
      <c r="D103" s="70">
        <f t="shared" si="52"/>
        <v>0</v>
      </c>
      <c r="E103" s="152"/>
      <c r="F103" s="70">
        <f t="shared" si="53"/>
        <v>0</v>
      </c>
      <c r="G103" s="152"/>
      <c r="H103" s="152" t="str">
        <f t="shared" si="54"/>
        <v/>
      </c>
      <c r="I103" s="70">
        <f t="shared" si="55"/>
        <v>0</v>
      </c>
      <c r="J103" s="152" t="str">
        <f t="shared" si="56"/>
        <v/>
      </c>
      <c r="K103" s="163"/>
    </row>
    <row r="104" spans="1:11" ht="17">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7">
      <c r="A105" s="30"/>
      <c r="B105" s="150">
        <v>6602</v>
      </c>
      <c r="C105" s="151" t="str">
        <f t="shared" si="51"/>
        <v>管理费用</v>
      </c>
      <c r="D105" s="70">
        <f t="shared" si="52"/>
        <v>580</v>
      </c>
      <c r="E105" s="152"/>
      <c r="F105" s="70">
        <f t="shared" si="53"/>
        <v>1000</v>
      </c>
      <c r="G105" s="152"/>
      <c r="H105" s="152" t="str">
        <f t="shared" si="54"/>
        <v/>
      </c>
      <c r="I105" s="70">
        <f t="shared" si="55"/>
        <v>420</v>
      </c>
      <c r="J105" s="152">
        <f t="shared" si="56"/>
        <v>0.72409999999999997</v>
      </c>
      <c r="K105" s="163"/>
    </row>
    <row r="106" spans="1:11" ht="17">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7">
      <c r="A107" s="30"/>
      <c r="B107" s="150">
        <v>6603</v>
      </c>
      <c r="C107" s="151" t="str">
        <f t="shared" si="51"/>
        <v>财务费用</v>
      </c>
      <c r="D107" s="70">
        <f t="shared" si="52"/>
        <v>1134.32</v>
      </c>
      <c r="E107" s="152"/>
      <c r="F107" s="70">
        <f t="shared" si="53"/>
        <v>1324.91</v>
      </c>
      <c r="G107" s="152"/>
      <c r="H107" s="152" t="str">
        <f t="shared" si="54"/>
        <v/>
      </c>
      <c r="I107" s="70">
        <f t="shared" si="55"/>
        <v>190.59</v>
      </c>
      <c r="J107" s="152">
        <f t="shared" si="56"/>
        <v>0.16800000000000001</v>
      </c>
      <c r="K107" s="163"/>
    </row>
    <row r="108" spans="1:11" ht="17">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7">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7">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7">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6">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6">
      <c r="A113" s="30"/>
      <c r="B113" s="150">
        <v>6671</v>
      </c>
      <c r="C113" s="151" t="str">
        <f>IF($B113="","",VLOOKUP($B113,Sheet_Items,6,0))</f>
        <v>资产减值损失（损失以“-”号填列）</v>
      </c>
      <c r="D113" s="70">
        <f t="shared" si="52"/>
        <v>0</v>
      </c>
      <c r="E113" s="152"/>
      <c r="F113" s="70">
        <f t="shared" si="53"/>
        <v>0</v>
      </c>
      <c r="G113" s="152"/>
      <c r="H113" s="152" t="str">
        <f t="shared" si="54"/>
        <v/>
      </c>
      <c r="I113" s="70">
        <f t="shared" si="55"/>
        <v>0</v>
      </c>
      <c r="J113" s="152" t="str">
        <f t="shared" si="56"/>
        <v/>
      </c>
      <c r="K113" s="163"/>
    </row>
    <row r="114" spans="1:11" ht="17">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7">
      <c r="A115" s="30"/>
      <c r="B115" s="150">
        <v>6689</v>
      </c>
      <c r="C115" s="153" t="str">
        <f t="shared" si="51"/>
        <v>营业利润</v>
      </c>
      <c r="D115" s="154">
        <f>SUM(D101)-SUM(D102:D107)+SUM(D108:D114)</f>
        <v>-1714.32</v>
      </c>
      <c r="E115" s="152">
        <f t="shared" ref="E115:I115" si="57">SUM(E101)-SUM(E102:E107)+SUM(E108:E114)</f>
        <v>0</v>
      </c>
      <c r="F115" s="154">
        <f t="shared" si="57"/>
        <v>-2324.91</v>
      </c>
      <c r="G115" s="152">
        <f t="shared" si="57"/>
        <v>0</v>
      </c>
      <c r="H115" s="152">
        <f t="shared" si="57"/>
        <v>0</v>
      </c>
      <c r="I115" s="154">
        <f t="shared" si="57"/>
        <v>-610.59</v>
      </c>
      <c r="J115" s="152">
        <f t="shared" si="56"/>
        <v>0.35620000000000002</v>
      </c>
      <c r="K115" s="163"/>
    </row>
    <row r="116" spans="1:11" ht="17">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7">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7">
      <c r="A118" s="30"/>
      <c r="B118" s="150">
        <v>6788</v>
      </c>
      <c r="C118" s="153" t="str">
        <f t="shared" si="51"/>
        <v>利润总额</v>
      </c>
      <c r="D118" s="154">
        <f>SUM(D115,D116,-D117)</f>
        <v>-1714.32</v>
      </c>
      <c r="E118" s="152"/>
      <c r="F118" s="154">
        <f>SUM(F115,F116,-F117)</f>
        <v>-2324.91</v>
      </c>
      <c r="G118" s="152"/>
      <c r="H118" s="152" t="str">
        <f t="shared" si="58"/>
        <v/>
      </c>
      <c r="I118" s="154">
        <f>SUM(I115,I116,-I117)</f>
        <v>-610.59</v>
      </c>
      <c r="J118" s="155">
        <f t="shared" si="47"/>
        <v>0.35620000000000002</v>
      </c>
      <c r="K118" s="163"/>
    </row>
    <row r="119" spans="1:11" ht="17">
      <c r="A119" s="30"/>
      <c r="B119" s="150">
        <v>6791</v>
      </c>
      <c r="C119" s="151" t="str">
        <f t="shared" si="51"/>
        <v>所得税费用</v>
      </c>
      <c r="D119" s="70">
        <f>VLOOKUP($B119,Sheet_Trialbal,10,0)</f>
        <v>0</v>
      </c>
      <c r="E119" s="152"/>
      <c r="F119" s="70">
        <f>VLOOKUP($B119,Sheet_Trialbal,3,0)</f>
        <v>0</v>
      </c>
      <c r="G119" s="152"/>
      <c r="H119" s="152" t="str">
        <f t="shared" si="58"/>
        <v/>
      </c>
      <c r="I119" s="70">
        <f t="shared" ref="I119:I125" si="59">IF(OR(F119="",D119=""),"",F119-D119)</f>
        <v>0</v>
      </c>
      <c r="J119" s="152" t="str">
        <f t="shared" si="47"/>
        <v/>
      </c>
      <c r="K119" s="163"/>
    </row>
    <row r="120" spans="1:11" ht="17">
      <c r="A120" s="30"/>
      <c r="B120" s="150">
        <v>6799</v>
      </c>
      <c r="C120" s="153" t="str">
        <f t="shared" si="51"/>
        <v>净利润</v>
      </c>
      <c r="D120" s="154">
        <f>SUM(D118,-D119)</f>
        <v>-1714.32</v>
      </c>
      <c r="E120" s="152"/>
      <c r="F120" s="154">
        <f>SUM(F118,-F119)</f>
        <v>-2324.91</v>
      </c>
      <c r="G120" s="152"/>
      <c r="H120" s="152" t="str">
        <f t="shared" si="58"/>
        <v/>
      </c>
      <c r="I120" s="154">
        <f t="shared" si="59"/>
        <v>-610.59</v>
      </c>
      <c r="J120" s="155">
        <f t="shared" si="47"/>
        <v>0.35620000000000002</v>
      </c>
      <c r="K120" s="163"/>
    </row>
    <row r="121" spans="1:11" ht="26">
      <c r="A121" s="30"/>
      <c r="B121" s="150">
        <v>6811</v>
      </c>
      <c r="C121" s="151" t="str">
        <f t="shared" si="51"/>
        <v>归属于母公司所有者的净利润</v>
      </c>
      <c r="D121" s="70">
        <f>VLOOKUP($B121,Sheet_Trialbal,10,0)</f>
        <v>-1714.32</v>
      </c>
      <c r="E121" s="152"/>
      <c r="F121" s="70">
        <f>VLOOKUP($B121,Sheet_Trialbal,3,0)</f>
        <v>-2324.91</v>
      </c>
      <c r="G121" s="152"/>
      <c r="H121" s="152" t="str">
        <f t="shared" si="58"/>
        <v/>
      </c>
      <c r="I121" s="70">
        <f t="shared" si="59"/>
        <v>-610.59</v>
      </c>
      <c r="J121" s="152">
        <f t="shared" si="47"/>
        <v>0.35620000000000002</v>
      </c>
      <c r="K121" s="163"/>
    </row>
    <row r="122" spans="1:11" ht="17">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7">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7">
      <c r="A124" s="30"/>
      <c r="B124" s="150">
        <v>6839</v>
      </c>
      <c r="C124" s="153" t="str">
        <f t="shared" si="51"/>
        <v>综合收益总额</v>
      </c>
      <c r="D124" s="154">
        <f>SUM(D120,D123)</f>
        <v>-1714.32</v>
      </c>
      <c r="E124" s="152"/>
      <c r="F124" s="154">
        <f>SUM(F120,F123)</f>
        <v>-2324.91</v>
      </c>
      <c r="G124" s="152"/>
      <c r="H124" s="152" t="str">
        <f t="shared" si="58"/>
        <v/>
      </c>
      <c r="I124" s="154">
        <f t="shared" si="59"/>
        <v>-610.59</v>
      </c>
      <c r="J124" s="155">
        <f t="shared" si="47"/>
        <v>0.35620000000000002</v>
      </c>
      <c r="K124" s="163"/>
    </row>
    <row r="125" spans="1:11" ht="17">
      <c r="A125" s="30"/>
      <c r="B125" s="36"/>
      <c r="C125" s="37"/>
      <c r="D125" s="166"/>
      <c r="E125" s="167"/>
      <c r="F125" s="166"/>
      <c r="G125" s="167"/>
      <c r="H125" s="167" t="str">
        <f t="shared" si="58"/>
        <v/>
      </c>
      <c r="I125" s="166" t="str">
        <f t="shared" si="59"/>
        <v/>
      </c>
      <c r="J125" s="167" t="str">
        <f t="shared" si="47"/>
        <v/>
      </c>
      <c r="K125" s="171"/>
    </row>
    <row r="126" spans="1:11" ht="17">
      <c r="A126" s="30"/>
      <c r="B126" s="1458" t="s">
        <v>4867</v>
      </c>
      <c r="C126" s="168" t="s">
        <v>5004</v>
      </c>
      <c r="D126" s="169"/>
      <c r="E126" s="170"/>
      <c r="F126" s="169"/>
      <c r="G126" s="170"/>
      <c r="H126" s="170"/>
      <c r="I126" s="169"/>
      <c r="J126" s="170"/>
      <c r="K126" s="45"/>
    </row>
    <row r="127" spans="1:11" ht="17">
      <c r="A127" s="30"/>
      <c r="B127" s="44"/>
      <c r="C127" s="45"/>
      <c r="D127" s="169"/>
      <c r="E127" s="170"/>
      <c r="F127" s="169"/>
      <c r="G127" s="170"/>
      <c r="H127" s="170"/>
      <c r="I127" s="169"/>
      <c r="J127" s="170"/>
      <c r="K127" s="45"/>
    </row>
    <row r="128" spans="1:11" ht="17">
      <c r="A128" s="30"/>
      <c r="B128" s="44"/>
      <c r="C128" s="45"/>
      <c r="D128" s="169"/>
      <c r="E128" s="170"/>
      <c r="F128" s="169"/>
      <c r="G128" s="170"/>
      <c r="H128" s="170"/>
      <c r="I128" s="169"/>
      <c r="J128" s="170"/>
      <c r="K128" s="45"/>
    </row>
    <row r="129" spans="1:11" ht="17">
      <c r="A129" s="30"/>
      <c r="B129" s="44"/>
      <c r="C129" s="45"/>
      <c r="D129" s="169"/>
      <c r="E129" s="170"/>
      <c r="F129" s="169"/>
      <c r="G129" s="170"/>
      <c r="H129" s="170"/>
      <c r="I129" s="169"/>
      <c r="J129" s="170"/>
      <c r="K129" s="45"/>
    </row>
    <row r="130" spans="1:11" ht="17">
      <c r="A130" s="30"/>
      <c r="B130" s="52"/>
      <c r="C130" s="52"/>
      <c r="D130" s="52"/>
      <c r="E130" s="52"/>
      <c r="F130" s="52"/>
      <c r="G130" s="52"/>
      <c r="H130" s="52"/>
      <c r="I130" s="52"/>
      <c r="J130" s="52"/>
      <c r="K130" s="52"/>
    </row>
    <row r="131" spans="1:11" ht="17">
      <c r="A131" s="30"/>
    </row>
    <row r="132" spans="1:11" ht="17">
      <c r="A132" s="30"/>
    </row>
    <row r="133" spans="1:11" ht="17">
      <c r="A133" s="30"/>
    </row>
    <row r="134" spans="1:11" ht="17">
      <c r="A134" s="30"/>
    </row>
    <row r="135" spans="1:11" ht="17">
      <c r="A135" s="30"/>
    </row>
    <row r="136" spans="1:11" ht="17">
      <c r="A136" s="30"/>
    </row>
    <row r="137" spans="1:11" ht="17">
      <c r="A137" s="30"/>
    </row>
    <row r="138" spans="1:11" ht="17">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09765625" defaultRowHeight="13"/>
  <cols>
    <col min="1" max="1" width="4.296875" style="1" customWidth="1"/>
    <col min="2" max="2" width="6.69921875" style="1" customWidth="1"/>
    <col min="3" max="3" width="31.09765625" style="1" customWidth="1"/>
    <col min="4" max="7" width="14.69921875" style="1" customWidth="1"/>
    <col min="8" max="9" width="8.69921875" style="1" customWidth="1"/>
    <col min="10" max="16384" width="9.09765625" style="1"/>
  </cols>
  <sheetData>
    <row r="2" spans="1:10" ht="18" customHeight="1">
      <c r="B2" s="2" t="s">
        <v>2520</v>
      </c>
      <c r="C2" s="3" t="str">
        <f>Lead!$C$5</f>
        <v>余江县天骏投资管理有限公司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43864</v>
      </c>
      <c r="H3" s="14" t="s">
        <v>2524</v>
      </c>
      <c r="I3" s="2746"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6.5">
      <c r="A8" s="24"/>
      <c r="B8" s="63" t="s">
        <v>2528</v>
      </c>
      <c r="C8" s="64" t="s">
        <v>5006</v>
      </c>
      <c r="D8" s="65" t="s">
        <v>5007</v>
      </c>
      <c r="E8" s="64" t="s">
        <v>5008</v>
      </c>
      <c r="F8" s="64" t="s">
        <v>5009</v>
      </c>
      <c r="G8" s="66" t="s">
        <v>5010</v>
      </c>
      <c r="H8" s="67" t="s">
        <v>2508</v>
      </c>
      <c r="I8" s="98"/>
      <c r="J8" s="99" t="s">
        <v>5011</v>
      </c>
    </row>
    <row r="9" spans="1:10" ht="17">
      <c r="A9" s="30"/>
      <c r="B9" s="31">
        <v>1</v>
      </c>
      <c r="C9" s="69" t="s">
        <v>5012</v>
      </c>
      <c r="D9" s="70"/>
      <c r="E9" s="70"/>
      <c r="F9" s="70"/>
      <c r="G9" s="70"/>
      <c r="H9" s="34"/>
      <c r="I9" s="56"/>
      <c r="J9" s="96"/>
    </row>
    <row r="10" spans="1:10" ht="17">
      <c r="A10" s="30"/>
      <c r="B10" s="31"/>
      <c r="C10" s="72" t="s">
        <v>5013</v>
      </c>
      <c r="D10" s="75" t="str">
        <f>IF(D61=0,"",D62/D61)</f>
        <v/>
      </c>
      <c r="E10" s="70"/>
      <c r="F10" s="75" t="str">
        <f>IF(F61=0,"",F62/F61)</f>
        <v/>
      </c>
      <c r="G10" s="70"/>
      <c r="H10" s="34"/>
      <c r="I10" s="56"/>
      <c r="J10" s="101" t="s">
        <v>5014</v>
      </c>
    </row>
    <row r="11" spans="1:10" ht="17">
      <c r="A11" s="30"/>
      <c r="B11" s="31"/>
      <c r="C11" s="72" t="s">
        <v>5015</v>
      </c>
      <c r="D11" s="75" t="str">
        <f>IF(D$61=0,"",D64/D$61)</f>
        <v/>
      </c>
      <c r="E11" s="70"/>
      <c r="F11" s="75" t="str">
        <f>IF(F$61=0,"",F64/F$61)</f>
        <v/>
      </c>
      <c r="G11" s="70"/>
      <c r="H11" s="34"/>
      <c r="I11" s="56"/>
      <c r="J11" s="101" t="s">
        <v>5016</v>
      </c>
    </row>
    <row r="12" spans="1:10" ht="17">
      <c r="A12" s="30"/>
      <c r="B12" s="31"/>
      <c r="C12" s="72" t="s">
        <v>5017</v>
      </c>
      <c r="D12" s="75">
        <f>IF(D$55=0,"",D65/D$55)</f>
        <v>-9.3799999999999994E-2</v>
      </c>
      <c r="E12" s="70"/>
      <c r="F12" s="75">
        <f>IF(F$55=0,"",F65/F$55)</f>
        <v>-0.1457</v>
      </c>
      <c r="G12" s="70"/>
      <c r="H12" s="34"/>
      <c r="I12" s="56"/>
      <c r="J12" s="101" t="s">
        <v>5018</v>
      </c>
    </row>
    <row r="13" spans="1:10" ht="17">
      <c r="A13" s="30"/>
      <c r="B13" s="31"/>
      <c r="C13" s="72" t="s">
        <v>5019</v>
      </c>
      <c r="D13" s="75">
        <f>IF(D60=0,"",D65/D60)</f>
        <v>1</v>
      </c>
      <c r="E13" s="70"/>
      <c r="F13" s="75">
        <f>IF(F60=0,"",F65/F60)</f>
        <v>0.5756</v>
      </c>
      <c r="G13" s="70"/>
      <c r="H13" s="34"/>
      <c r="I13" s="56"/>
      <c r="J13" s="101" t="s">
        <v>5020</v>
      </c>
    </row>
    <row r="14" spans="1:10" ht="17">
      <c r="A14" s="30"/>
      <c r="B14" s="31">
        <v>2</v>
      </c>
      <c r="C14" s="69" t="s">
        <v>5021</v>
      </c>
      <c r="D14" s="70"/>
      <c r="E14" s="70"/>
      <c r="F14" s="70"/>
      <c r="G14" s="70"/>
      <c r="H14" s="34"/>
      <c r="I14" s="56"/>
      <c r="J14" s="96"/>
    </row>
    <row r="15" spans="1:10" ht="17">
      <c r="A15" s="30"/>
      <c r="B15" s="31"/>
      <c r="C15" s="72" t="s">
        <v>5022</v>
      </c>
      <c r="D15" s="70" t="str">
        <f>IF(D47=0,"",D$61/D47)</f>
        <v/>
      </c>
      <c r="E15" s="70"/>
      <c r="F15" s="70" t="str">
        <f>IF(F47=0,"",F$61/F47)</f>
        <v/>
      </c>
      <c r="G15" s="70"/>
      <c r="H15" s="34"/>
      <c r="I15" s="56"/>
      <c r="J15" s="101" t="s">
        <v>5023</v>
      </c>
    </row>
    <row r="16" spans="1:10" ht="17">
      <c r="A16" s="30"/>
      <c r="B16" s="31"/>
      <c r="C16" s="72" t="s">
        <v>5024</v>
      </c>
      <c r="D16" s="70" t="str">
        <f>IF(D52=0,"",D67/D52)</f>
        <v/>
      </c>
      <c r="E16" s="70"/>
      <c r="F16" s="70" t="str">
        <f>IF(F52=0,"",F67/F52)</f>
        <v/>
      </c>
      <c r="G16" s="70"/>
      <c r="H16" s="34"/>
      <c r="I16" s="56"/>
      <c r="J16" s="101" t="s">
        <v>5025</v>
      </c>
    </row>
    <row r="17" spans="1:10" ht="17">
      <c r="A17" s="30"/>
      <c r="B17" s="31"/>
      <c r="C17" s="72" t="s">
        <v>5026</v>
      </c>
      <c r="D17" s="70">
        <f>IF(D56=0,"",D$61/D56)</f>
        <v>0</v>
      </c>
      <c r="E17" s="70"/>
      <c r="F17" s="70">
        <f>IF(F56=0,"",F$61/F56)</f>
        <v>0</v>
      </c>
      <c r="G17" s="70"/>
      <c r="H17" s="34"/>
      <c r="I17" s="56"/>
      <c r="J17" s="101" t="s">
        <v>5027</v>
      </c>
    </row>
    <row r="18" spans="1:10" ht="17">
      <c r="A18" s="30"/>
      <c r="B18" s="31"/>
      <c r="C18" s="72" t="s">
        <v>5028</v>
      </c>
      <c r="D18" s="70">
        <f>IF(D58=0,"",D$61/D58)</f>
        <v>0</v>
      </c>
      <c r="E18" s="70"/>
      <c r="F18" s="70">
        <f>IF(F58=0,"",F$61/F58)</f>
        <v>0</v>
      </c>
      <c r="G18" s="70"/>
      <c r="H18" s="34"/>
      <c r="I18" s="56"/>
      <c r="J18" s="101" t="s">
        <v>5029</v>
      </c>
    </row>
    <row r="19" spans="1:10" ht="17">
      <c r="A19" s="30"/>
      <c r="B19" s="31">
        <v>3</v>
      </c>
      <c r="C19" s="69" t="s">
        <v>5030</v>
      </c>
      <c r="D19" s="70"/>
      <c r="E19" s="70"/>
      <c r="F19" s="70"/>
      <c r="G19" s="70"/>
      <c r="H19" s="34"/>
      <c r="I19" s="56"/>
      <c r="J19" s="96"/>
    </row>
    <row r="20" spans="1:10" ht="17">
      <c r="A20" s="30"/>
      <c r="B20" s="31"/>
      <c r="C20" s="72" t="s">
        <v>5031</v>
      </c>
      <c r="D20" s="70">
        <f>IF(D$57=0,"",D53/D$57)</f>
        <v>0.91</v>
      </c>
      <c r="E20" s="70"/>
      <c r="F20" s="70">
        <f>IF(F$57=0,"",F53/F$57)</f>
        <v>0.8</v>
      </c>
      <c r="G20" s="70"/>
      <c r="H20" s="34"/>
      <c r="I20" s="56"/>
      <c r="J20" s="101" t="s">
        <v>5032</v>
      </c>
    </row>
    <row r="21" spans="1:10" ht="17">
      <c r="A21" s="30"/>
      <c r="B21" s="31"/>
      <c r="C21" s="72" t="s">
        <v>5033</v>
      </c>
      <c r="D21" s="70">
        <f>IF(D$57=0,"",D54/D$57)</f>
        <v>0.91</v>
      </c>
      <c r="E21" s="70"/>
      <c r="F21" s="70">
        <f>IF(F$57=0,"",F54/F$57)</f>
        <v>0.8</v>
      </c>
      <c r="G21" s="70"/>
      <c r="H21" s="34"/>
      <c r="I21" s="56"/>
      <c r="J21" s="101" t="s">
        <v>5034</v>
      </c>
    </row>
    <row r="22" spans="1:10" ht="17">
      <c r="A22" s="30"/>
      <c r="B22" s="31"/>
      <c r="C22" s="72" t="s">
        <v>5035</v>
      </c>
      <c r="D22" s="70">
        <f>IF(D$57=0,"",D70/D$57)</f>
        <v>0.89</v>
      </c>
      <c r="E22" s="70"/>
      <c r="F22" s="70">
        <f>IF(F$57=0,"",F70/F$57)</f>
        <v>0.77</v>
      </c>
      <c r="G22" s="70"/>
      <c r="H22" s="34"/>
      <c r="I22" s="56"/>
      <c r="J22" s="101" t="s">
        <v>5036</v>
      </c>
    </row>
    <row r="23" spans="1:10" ht="17">
      <c r="A23" s="30"/>
      <c r="B23" s="31">
        <v>4</v>
      </c>
      <c r="C23" s="69" t="s">
        <v>5037</v>
      </c>
      <c r="D23" s="70"/>
      <c r="E23" s="70"/>
      <c r="F23" s="70"/>
      <c r="G23" s="70"/>
      <c r="H23" s="34"/>
      <c r="I23" s="56"/>
      <c r="J23" s="96"/>
    </row>
    <row r="24" spans="1:10" ht="17">
      <c r="A24" s="30"/>
      <c r="B24" s="31"/>
      <c r="C24" s="72" t="s">
        <v>5038</v>
      </c>
      <c r="D24" s="75">
        <f>IF(D55=0,"",D59/D55)</f>
        <v>1.0938000000000001</v>
      </c>
      <c r="E24" s="75"/>
      <c r="F24" s="75">
        <f>IF(F55=0,"",F59/F55)</f>
        <v>1.2531000000000001</v>
      </c>
      <c r="G24" s="75"/>
      <c r="H24" s="34"/>
      <c r="I24" s="56"/>
      <c r="J24" s="96"/>
    </row>
    <row r="25" spans="1:10" ht="17">
      <c r="A25" s="30"/>
      <c r="B25" s="31">
        <v>5</v>
      </c>
      <c r="C25" s="69" t="s">
        <v>5039</v>
      </c>
      <c r="D25" s="70"/>
      <c r="E25" s="70"/>
      <c r="F25" s="70"/>
      <c r="G25" s="70"/>
      <c r="H25" s="34"/>
      <c r="I25" s="56"/>
      <c r="J25" s="96"/>
    </row>
    <row r="26" spans="1:10" ht="17">
      <c r="A26" s="30"/>
      <c r="B26" s="31"/>
      <c r="C26" s="72" t="s">
        <v>5040</v>
      </c>
      <c r="D26" s="75" t="str">
        <f>IF(H61=0,"",(D61-H61)/H61)</f>
        <v/>
      </c>
      <c r="E26" s="75"/>
      <c r="F26" s="75" t="str">
        <f>IF(D61=0,"",(F61-D61)/D61)</f>
        <v/>
      </c>
      <c r="G26" s="75"/>
      <c r="H26" s="34"/>
      <c r="I26" s="56"/>
      <c r="J26" s="101" t="s">
        <v>5041</v>
      </c>
    </row>
    <row r="27" spans="1:10" ht="17">
      <c r="A27" s="30"/>
      <c r="B27" s="31"/>
      <c r="C27" s="72" t="s">
        <v>5042</v>
      </c>
      <c r="D27" s="75" t="str">
        <f>IF(H64=0,"",(D64-H64)/H64)</f>
        <v/>
      </c>
      <c r="E27" s="75"/>
      <c r="F27" s="75">
        <f>IF(D64=0,"",(F64-D64)/D64)</f>
        <v>0.35620000000000002</v>
      </c>
      <c r="G27" s="75"/>
      <c r="H27" s="34"/>
      <c r="I27" s="56"/>
      <c r="J27" s="101" t="s">
        <v>5043</v>
      </c>
    </row>
    <row r="28" spans="1:10" ht="17">
      <c r="A28" s="30"/>
      <c r="B28" s="31"/>
      <c r="C28" s="72" t="s">
        <v>5044</v>
      </c>
      <c r="D28" s="75" t="str">
        <f>IF(H65=0,"",(D65-H65)/H65)</f>
        <v/>
      </c>
      <c r="E28" s="75"/>
      <c r="F28" s="75">
        <f>IF(D65=0,"",(F65-D65)/D65)</f>
        <v>0.35620000000000002</v>
      </c>
      <c r="G28" s="75"/>
      <c r="H28" s="34"/>
      <c r="I28" s="56"/>
      <c r="J28" s="101" t="s">
        <v>5045</v>
      </c>
    </row>
    <row r="29" spans="1:10" ht="17">
      <c r="A29" s="30"/>
      <c r="B29" s="31"/>
      <c r="C29" s="72" t="s">
        <v>5046</v>
      </c>
      <c r="D29" s="75" t="str">
        <f>IF(H60=0,"",(D60-H60)/H60)</f>
        <v/>
      </c>
      <c r="E29" s="75"/>
      <c r="F29" s="75">
        <f>IF(D60=0,"",(F60-D60)/D60)</f>
        <v>1.3562000000000001</v>
      </c>
      <c r="G29" s="75"/>
      <c r="H29" s="34"/>
      <c r="I29" s="56"/>
      <c r="J29" s="101" t="s">
        <v>5047</v>
      </c>
    </row>
    <row r="30" spans="1:10" ht="17">
      <c r="A30" s="30"/>
      <c r="B30" s="31"/>
      <c r="C30" s="72" t="s">
        <v>5048</v>
      </c>
      <c r="D30" s="75" t="str">
        <f>IF(H55=0,"",(D55-H55)/H55)</f>
        <v/>
      </c>
      <c r="E30" s="75"/>
      <c r="F30" s="75">
        <f>IF(D55=0,"",(F55-D55)/D55)</f>
        <v>-0.12709999999999999</v>
      </c>
      <c r="G30" s="75"/>
      <c r="H30" s="34"/>
      <c r="I30" s="56"/>
      <c r="J30" s="101" t="s">
        <v>5049</v>
      </c>
    </row>
    <row r="31" spans="1:10" ht="17">
      <c r="A31" s="30"/>
      <c r="B31" s="31">
        <v>6</v>
      </c>
      <c r="C31" s="69" t="s">
        <v>5050</v>
      </c>
      <c r="D31" s="70"/>
      <c r="E31" s="70"/>
      <c r="F31" s="70"/>
      <c r="G31" s="70"/>
      <c r="H31" s="34"/>
      <c r="I31" s="56"/>
      <c r="J31" s="96"/>
    </row>
    <row r="32" spans="1:10" ht="17">
      <c r="A32" s="30"/>
      <c r="B32" s="31"/>
      <c r="C32" s="72" t="s">
        <v>891</v>
      </c>
      <c r="D32" s="70" t="str">
        <f>IF(D$43=0,"",D65/D$43)</f>
        <v/>
      </c>
      <c r="E32" s="70"/>
      <c r="F32" s="70" t="str">
        <f>IF(F$43=0,"",F65/F$43)</f>
        <v/>
      </c>
      <c r="G32" s="70"/>
      <c r="H32" s="34"/>
      <c r="I32" s="56"/>
      <c r="J32" s="101" t="s">
        <v>5051</v>
      </c>
    </row>
    <row r="33" spans="1:10" ht="17">
      <c r="A33" s="30"/>
      <c r="B33" s="31"/>
      <c r="C33" s="72" t="s">
        <v>5052</v>
      </c>
      <c r="D33" s="70" t="str">
        <f>IF(D$43=0,"",D60/D$43)</f>
        <v/>
      </c>
      <c r="E33" s="70"/>
      <c r="F33" s="70" t="str">
        <f>IF(F$43=0,"",F60/F$43)</f>
        <v/>
      </c>
      <c r="G33" s="70"/>
      <c r="H33" s="34"/>
      <c r="I33" s="56"/>
      <c r="J33" s="101" t="s">
        <v>5053</v>
      </c>
    </row>
    <row r="34" spans="1:10" ht="17">
      <c r="A34" s="30"/>
      <c r="B34" s="36"/>
      <c r="C34" s="76" t="s">
        <v>5054</v>
      </c>
      <c r="D34" s="70" t="str">
        <f>IF(D$43=0,"",#REF!/D$43)</f>
        <v/>
      </c>
      <c r="E34" s="70"/>
      <c r="F34" s="70" t="str">
        <f>IF(F$43=0,"",#REF!/F$43)</f>
        <v/>
      </c>
      <c r="G34" s="70"/>
      <c r="H34" s="39"/>
      <c r="I34" s="57"/>
      <c r="J34" s="101" t="s">
        <v>5055</v>
      </c>
    </row>
    <row r="35" spans="1:10" ht="17">
      <c r="A35" s="30"/>
      <c r="B35" s="81"/>
      <c r="C35" s="94"/>
      <c r="D35" s="33"/>
      <c r="E35" s="33"/>
      <c r="F35" s="95"/>
      <c r="G35" s="83"/>
      <c r="H35" s="84"/>
      <c r="I35" s="56"/>
      <c r="J35" s="96"/>
    </row>
    <row r="36" spans="1:10" ht="17">
      <c r="A36" s="30"/>
      <c r="B36" s="81"/>
      <c r="C36" s="78" t="s">
        <v>5004</v>
      </c>
      <c r="D36" s="83"/>
      <c r="E36" s="83"/>
      <c r="F36" s="83"/>
      <c r="G36" s="83"/>
      <c r="H36" s="84"/>
      <c r="I36" s="56"/>
      <c r="J36" s="96"/>
    </row>
    <row r="37" spans="1:10" ht="17">
      <c r="A37" s="30"/>
      <c r="B37" s="81"/>
      <c r="C37" s="82"/>
      <c r="D37" s="83"/>
      <c r="E37" s="83"/>
      <c r="F37" s="83"/>
      <c r="G37" s="83"/>
      <c r="H37" s="84"/>
      <c r="I37" s="56"/>
      <c r="J37" s="96"/>
    </row>
    <row r="38" spans="1:10" ht="17">
      <c r="A38" s="30"/>
      <c r="B38" s="85"/>
      <c r="C38" s="49"/>
      <c r="D38" s="86"/>
      <c r="E38" s="86"/>
      <c r="F38" s="86"/>
      <c r="G38" s="86"/>
      <c r="H38" s="87"/>
      <c r="I38" s="57"/>
      <c r="J38" s="96"/>
    </row>
    <row r="39" spans="1:10" ht="17">
      <c r="A39" s="30"/>
      <c r="B39" s="103"/>
      <c r="C39" s="103"/>
      <c r="D39" s="103"/>
      <c r="E39" s="103"/>
      <c r="F39" s="103"/>
      <c r="G39" s="103"/>
      <c r="H39" s="103"/>
      <c r="I39" s="103"/>
      <c r="J39" s="96"/>
    </row>
    <row r="40" spans="1:10" ht="17">
      <c r="A40" s="30"/>
      <c r="J40" s="96"/>
    </row>
    <row r="41" spans="1:10" ht="26">
      <c r="A41" s="30"/>
      <c r="B41" s="104" t="s">
        <v>2874</v>
      </c>
      <c r="C41" s="105"/>
      <c r="D41" s="106" t="s">
        <v>5056</v>
      </c>
      <c r="E41" s="107" t="s">
        <v>5057</v>
      </c>
      <c r="F41" s="106" t="s">
        <v>5058</v>
      </c>
      <c r="G41" s="106" t="s">
        <v>5010</v>
      </c>
      <c r="H41" s="3312" t="s">
        <v>5059</v>
      </c>
      <c r="I41" s="3313"/>
      <c r="J41" s="97" t="s">
        <v>5060</v>
      </c>
    </row>
    <row r="42" spans="1:10" ht="17">
      <c r="A42" s="30"/>
      <c r="B42" s="108"/>
      <c r="C42" s="109" t="s">
        <v>5061</v>
      </c>
      <c r="D42" s="110"/>
      <c r="E42" s="111"/>
      <c r="F42" s="110"/>
      <c r="G42" s="110"/>
      <c r="H42" s="3314"/>
      <c r="I42" s="3315"/>
      <c r="J42" s="96"/>
    </row>
    <row r="43" spans="1:10" ht="17">
      <c r="A43" s="30"/>
      <c r="B43" s="112"/>
      <c r="C43" s="113" t="s">
        <v>5062</v>
      </c>
      <c r="D43" s="114"/>
      <c r="E43" s="115"/>
      <c r="F43" s="114"/>
      <c r="G43" s="114"/>
      <c r="H43" s="3316"/>
      <c r="I43" s="3317"/>
      <c r="J43" s="96"/>
    </row>
    <row r="44" spans="1:10" ht="17">
      <c r="A44" s="30"/>
      <c r="B44" s="116">
        <v>1122</v>
      </c>
      <c r="C44" s="113" t="s">
        <v>124</v>
      </c>
      <c r="D44" s="117">
        <f>VLOOKUP($B44,Sheet_Trialbal,10,0)</f>
        <v>0</v>
      </c>
      <c r="E44" s="117"/>
      <c r="F44" s="117">
        <f>VLOOKUP($B44,Sheet_Trialbal,3,0)</f>
        <v>0</v>
      </c>
      <c r="G44" s="117"/>
      <c r="H44" s="3318"/>
      <c r="I44" s="3319"/>
      <c r="J44" s="101" t="s">
        <v>5063</v>
      </c>
    </row>
    <row r="45" spans="1:10" ht="17">
      <c r="A45" s="30"/>
      <c r="B45" s="116">
        <v>1122.1231</v>
      </c>
      <c r="C45" s="113" t="s">
        <v>5064</v>
      </c>
      <c r="D45" s="114">
        <f>VLOOKUP($B45,Sheet_Trialbal,10,0)</f>
        <v>0</v>
      </c>
      <c r="E45" s="114"/>
      <c r="F45" s="114">
        <f>VLOOKUP($B45,Sheet_Trialbal,3,0)</f>
        <v>0</v>
      </c>
      <c r="G45" s="114"/>
      <c r="H45" s="3318"/>
      <c r="I45" s="3319"/>
      <c r="J45" s="101" t="s">
        <v>5063</v>
      </c>
    </row>
    <row r="46" spans="1:10" ht="17">
      <c r="A46" s="30"/>
      <c r="B46" s="116"/>
      <c r="C46" s="113" t="s">
        <v>5065</v>
      </c>
      <c r="D46" s="118">
        <f>D44+D45</f>
        <v>0</v>
      </c>
      <c r="E46" s="118"/>
      <c r="F46" s="118">
        <f>F44+F45</f>
        <v>0</v>
      </c>
      <c r="G46" s="118"/>
      <c r="H46" s="3320">
        <f>H44+H45</f>
        <v>0</v>
      </c>
      <c r="I46" s="3321">
        <f>I44+I45</f>
        <v>0</v>
      </c>
      <c r="J46" s="96"/>
    </row>
    <row r="47" spans="1:10" ht="17">
      <c r="A47" s="30"/>
      <c r="B47" s="116"/>
      <c r="C47" s="120" t="s">
        <v>5066</v>
      </c>
      <c r="D47" s="118">
        <f>(D46+H46)/2</f>
        <v>0</v>
      </c>
      <c r="E47" s="118"/>
      <c r="F47" s="118">
        <f>(D46+F46)/2</f>
        <v>0</v>
      </c>
      <c r="G47" s="118"/>
      <c r="H47" s="3320"/>
      <c r="I47" s="3321"/>
      <c r="J47" s="96"/>
    </row>
    <row r="48" spans="1:10" ht="17">
      <c r="A48" s="30"/>
      <c r="B48" s="116">
        <v>1125</v>
      </c>
      <c r="C48" s="113" t="s">
        <v>162</v>
      </c>
      <c r="D48" s="117">
        <f>VLOOKUP($B48,Sheet_Trialbal,10,0)</f>
        <v>0</v>
      </c>
      <c r="E48" s="117"/>
      <c r="F48" s="117">
        <f>VLOOKUP($B48,Sheet_Trialbal,3,0)</f>
        <v>0</v>
      </c>
      <c r="G48" s="117"/>
      <c r="H48" s="3320"/>
      <c r="I48" s="3321"/>
      <c r="J48" s="96"/>
    </row>
    <row r="49" spans="1:10" ht="17">
      <c r="A49" s="30"/>
      <c r="B49" s="116">
        <v>1400</v>
      </c>
      <c r="C49" s="113" t="s">
        <v>229</v>
      </c>
      <c r="D49" s="117">
        <f>VLOOKUP($B49,Sheet_Trialbal,10,0)</f>
        <v>0</v>
      </c>
      <c r="E49" s="117"/>
      <c r="F49" s="117">
        <f>VLOOKUP($B49,Sheet_Trialbal,3,0)</f>
        <v>0</v>
      </c>
      <c r="G49" s="117"/>
      <c r="H49" s="3318"/>
      <c r="I49" s="3319"/>
      <c r="J49" s="101" t="s">
        <v>5063</v>
      </c>
    </row>
    <row r="50" spans="1:10" ht="17">
      <c r="A50" s="30"/>
      <c r="B50" s="116">
        <v>1400.1470999999999</v>
      </c>
      <c r="C50" s="113" t="s">
        <v>5067</v>
      </c>
      <c r="D50" s="114">
        <f>VLOOKUP($B50,Sheet_Trialbal,10,0)</f>
        <v>0</v>
      </c>
      <c r="E50" s="114"/>
      <c r="F50" s="114">
        <f>VLOOKUP($B50,Sheet_Trialbal,3,0)</f>
        <v>0</v>
      </c>
      <c r="G50" s="114"/>
      <c r="H50" s="3318"/>
      <c r="I50" s="3319"/>
      <c r="J50" s="101" t="s">
        <v>5063</v>
      </c>
    </row>
    <row r="51" spans="1:10" ht="17">
      <c r="A51" s="30"/>
      <c r="B51" s="116"/>
      <c r="C51" s="113" t="s">
        <v>5068</v>
      </c>
      <c r="D51" s="118">
        <f>D49+D50</f>
        <v>0</v>
      </c>
      <c r="E51" s="118"/>
      <c r="F51" s="118">
        <f>F49+F50</f>
        <v>0</v>
      </c>
      <c r="G51" s="118"/>
      <c r="H51" s="3320">
        <f>H49+H50</f>
        <v>0</v>
      </c>
      <c r="I51" s="3321">
        <f>I49+I50</f>
        <v>0</v>
      </c>
      <c r="J51" s="96"/>
    </row>
    <row r="52" spans="1:10" ht="17">
      <c r="A52" s="30"/>
      <c r="B52" s="116"/>
      <c r="C52" s="120" t="s">
        <v>5069</v>
      </c>
      <c r="D52" s="118">
        <f>(D51+H51)/2</f>
        <v>0</v>
      </c>
      <c r="E52" s="118"/>
      <c r="F52" s="118">
        <f>(D51+F51)/2</f>
        <v>0</v>
      </c>
      <c r="G52" s="118"/>
      <c r="H52" s="3320"/>
      <c r="I52" s="3321"/>
      <c r="J52" s="96"/>
    </row>
    <row r="53" spans="1:10" ht="17">
      <c r="A53" s="30"/>
      <c r="B53" s="116">
        <v>1498</v>
      </c>
      <c r="C53" s="113" t="s">
        <v>286</v>
      </c>
      <c r="D53" s="117">
        <f>VLOOKUP($B53,Sheet_Trialbal,10,0)</f>
        <v>18285.68</v>
      </c>
      <c r="E53" s="117"/>
      <c r="F53" s="117">
        <f>VLOOKUP($B53,Sheet_Trialbal,3,0)</f>
        <v>15960.77</v>
      </c>
      <c r="G53" s="117"/>
      <c r="H53" s="3320"/>
      <c r="I53" s="3321"/>
      <c r="J53" s="96"/>
    </row>
    <row r="54" spans="1:10" ht="17">
      <c r="A54" s="30"/>
      <c r="B54" s="116"/>
      <c r="C54" s="120" t="s">
        <v>5070</v>
      </c>
      <c r="D54" s="118">
        <f>D53-D48-D49</f>
        <v>18285.68</v>
      </c>
      <c r="E54" s="118"/>
      <c r="F54" s="118">
        <f>F53-F48-F49</f>
        <v>15960.77</v>
      </c>
      <c r="G54" s="118"/>
      <c r="H54" s="3320"/>
      <c r="I54" s="3321"/>
      <c r="J54" s="96"/>
    </row>
    <row r="55" spans="1:10" ht="17">
      <c r="A55" s="30"/>
      <c r="B55" s="116">
        <v>1999</v>
      </c>
      <c r="C55" s="113" t="s">
        <v>5071</v>
      </c>
      <c r="D55" s="117">
        <f>VLOOKUP($B55,Sheet_Trialbal,10,0)</f>
        <v>18285.68</v>
      </c>
      <c r="E55" s="117"/>
      <c r="F55" s="117">
        <f>VLOOKUP($B55,Sheet_Trialbal,3,0)</f>
        <v>15960.77</v>
      </c>
      <c r="G55" s="117"/>
      <c r="H55" s="3318"/>
      <c r="I55" s="3319"/>
      <c r="J55" s="101" t="s">
        <v>5063</v>
      </c>
    </row>
    <row r="56" spans="1:10" ht="17">
      <c r="A56" s="30"/>
      <c r="B56" s="116"/>
      <c r="C56" s="120" t="s">
        <v>5072</v>
      </c>
      <c r="D56" s="118">
        <f>(D55+H55)/2</f>
        <v>9142.84</v>
      </c>
      <c r="E56" s="118"/>
      <c r="F56" s="118">
        <f>(D55+F55)/2</f>
        <v>17123.23</v>
      </c>
      <c r="G56" s="117"/>
      <c r="H56" s="3320"/>
      <c r="I56" s="3321"/>
      <c r="J56" s="96"/>
    </row>
    <row r="57" spans="1:10" ht="17">
      <c r="A57" s="30"/>
      <c r="B57" s="116">
        <v>2498</v>
      </c>
      <c r="C57" s="113" t="s">
        <v>566</v>
      </c>
      <c r="D57" s="117">
        <f>VLOOKUP($B57,Sheet_Trialbal,10,0)</f>
        <v>20000</v>
      </c>
      <c r="E57" s="117"/>
      <c r="F57" s="117">
        <f>VLOOKUP($B57,Sheet_Trialbal,3,0)</f>
        <v>20000</v>
      </c>
      <c r="G57" s="117"/>
      <c r="H57" s="3320"/>
      <c r="I57" s="3321"/>
      <c r="J57" s="96"/>
    </row>
    <row r="58" spans="1:10" ht="17">
      <c r="A58" s="30"/>
      <c r="B58" s="116"/>
      <c r="C58" s="113" t="s">
        <v>5073</v>
      </c>
      <c r="D58" s="118">
        <f>D53-D57</f>
        <v>-1714.32</v>
      </c>
      <c r="E58" s="118"/>
      <c r="F58" s="118">
        <f>F53-F57</f>
        <v>-4039.23</v>
      </c>
      <c r="G58" s="118"/>
      <c r="H58" s="3320"/>
      <c r="I58" s="3321"/>
      <c r="J58" s="96"/>
    </row>
    <row r="59" spans="1:10" ht="17">
      <c r="A59" s="30"/>
      <c r="B59" s="116">
        <v>2999</v>
      </c>
      <c r="C59" s="113" t="s">
        <v>5074</v>
      </c>
      <c r="D59" s="117">
        <f t="shared" ref="D59:D70" si="0">VLOOKUP($B59,Sheet_Trialbal,10,0)</f>
        <v>20000</v>
      </c>
      <c r="E59" s="117"/>
      <c r="F59" s="117">
        <f t="shared" ref="F59:F70" si="1">VLOOKUP($B59,Sheet_Trialbal,3,0)</f>
        <v>20000</v>
      </c>
      <c r="G59" s="117"/>
      <c r="H59" s="3320"/>
      <c r="I59" s="3321"/>
      <c r="J59" s="96"/>
    </row>
    <row r="60" spans="1:10" ht="17">
      <c r="A60" s="30"/>
      <c r="B60" s="116">
        <v>4999</v>
      </c>
      <c r="C60" s="113" t="s">
        <v>5075</v>
      </c>
      <c r="D60" s="117">
        <f t="shared" si="0"/>
        <v>-1714.32</v>
      </c>
      <c r="E60" s="117"/>
      <c r="F60" s="117">
        <f t="shared" si="1"/>
        <v>-4039.23</v>
      </c>
      <c r="G60" s="117"/>
      <c r="H60" s="3318"/>
      <c r="I60" s="3319"/>
      <c r="J60" s="101" t="s">
        <v>5063</v>
      </c>
    </row>
    <row r="61" spans="1:10" ht="17">
      <c r="A61" s="30"/>
      <c r="B61" s="116">
        <v>6001</v>
      </c>
      <c r="C61" s="113" t="s">
        <v>631</v>
      </c>
      <c r="D61" s="117">
        <f>VLOOKUP($B61,Sheet_Trialbal,10,0)</f>
        <v>0</v>
      </c>
      <c r="E61" s="117"/>
      <c r="F61" s="117">
        <f>VLOOKUP($B61,Sheet_Trialbal,3,0)</f>
        <v>0</v>
      </c>
      <c r="G61" s="117"/>
      <c r="H61" s="3324"/>
      <c r="I61" s="3325"/>
      <c r="J61" s="101" t="s">
        <v>5063</v>
      </c>
    </row>
    <row r="62" spans="1:10" ht="17">
      <c r="A62" s="30"/>
      <c r="B62" s="116"/>
      <c r="C62" s="113" t="s">
        <v>5076</v>
      </c>
      <c r="D62" s="117">
        <f>D61-D67</f>
        <v>0</v>
      </c>
      <c r="E62" s="117"/>
      <c r="F62" s="117">
        <f>F61-F67</f>
        <v>0</v>
      </c>
      <c r="G62" s="117"/>
      <c r="H62" s="73"/>
      <c r="I62" s="56"/>
      <c r="J62" s="96"/>
    </row>
    <row r="63" spans="1:10" ht="17">
      <c r="A63" s="30"/>
      <c r="B63" s="116">
        <v>6111</v>
      </c>
      <c r="C63" s="113" t="s">
        <v>656</v>
      </c>
      <c r="D63" s="117">
        <f>VLOOKUP($B63,Sheet_Trialbal,10,0)</f>
        <v>0</v>
      </c>
      <c r="E63" s="117"/>
      <c r="F63" s="117">
        <f>VLOOKUP($B63,Sheet_Trialbal,3,0)</f>
        <v>0</v>
      </c>
      <c r="G63" s="117"/>
      <c r="H63" s="74" t="s">
        <v>5059</v>
      </c>
      <c r="I63" s="56"/>
      <c r="J63" s="96"/>
    </row>
    <row r="64" spans="1:10" ht="17">
      <c r="A64" s="30"/>
      <c r="B64" s="116">
        <v>6689</v>
      </c>
      <c r="C64" s="113" t="s">
        <v>833</v>
      </c>
      <c r="D64" s="117">
        <f>VLOOKUP($B64,Sheet_Trialbal,10,0)</f>
        <v>-1714.32</v>
      </c>
      <c r="E64" s="117"/>
      <c r="F64" s="117">
        <f>VLOOKUP($B64,Sheet_Trialbal,3,0)</f>
        <v>-2324.91</v>
      </c>
      <c r="G64" s="117"/>
      <c r="H64" s="3324"/>
      <c r="I64" s="3325"/>
      <c r="J64" s="101" t="s">
        <v>5063</v>
      </c>
    </row>
    <row r="65" spans="1:10" ht="17">
      <c r="A65" s="30"/>
      <c r="B65" s="116">
        <v>6799</v>
      </c>
      <c r="C65" s="113" t="s">
        <v>871</v>
      </c>
      <c r="D65" s="117">
        <f>VLOOKUP($B65,Sheet_Trialbal,10,0)</f>
        <v>-1714.32</v>
      </c>
      <c r="E65" s="117"/>
      <c r="F65" s="117">
        <f>VLOOKUP($B65,Sheet_Trialbal,3,0)</f>
        <v>-2324.91</v>
      </c>
      <c r="G65" s="117"/>
      <c r="H65" s="3324"/>
      <c r="I65" s="3325"/>
      <c r="J65" s="101" t="s">
        <v>5063</v>
      </c>
    </row>
    <row r="66" spans="1:10" ht="17">
      <c r="A66" s="30"/>
      <c r="B66" s="116">
        <v>6811</v>
      </c>
      <c r="C66" s="113" t="s">
        <v>5077</v>
      </c>
      <c r="D66" s="117">
        <f>VLOOKUP($B66,Sheet_Trialbal,10,0)</f>
        <v>-1714.32</v>
      </c>
      <c r="E66" s="117"/>
      <c r="F66" s="117">
        <f>VLOOKUP($B66,Sheet_Trialbal,3,0)</f>
        <v>-2324.91</v>
      </c>
      <c r="G66" s="117"/>
      <c r="H66" s="34"/>
      <c r="I66" s="56"/>
      <c r="J66" s="96"/>
    </row>
    <row r="67" spans="1:10" ht="17">
      <c r="A67" s="30"/>
      <c r="B67" s="116">
        <v>6401</v>
      </c>
      <c r="C67" s="113" t="s">
        <v>671</v>
      </c>
      <c r="D67" s="117">
        <f t="shared" si="0"/>
        <v>0</v>
      </c>
      <c r="E67" s="117"/>
      <c r="F67" s="117">
        <f t="shared" si="1"/>
        <v>0</v>
      </c>
      <c r="G67" s="117"/>
      <c r="H67" s="3320"/>
      <c r="I67" s="3321"/>
      <c r="J67" s="96"/>
    </row>
    <row r="68" spans="1:10" ht="17">
      <c r="A68" s="30"/>
      <c r="B68" s="116">
        <v>6601</v>
      </c>
      <c r="C68" s="113" t="s">
        <v>680</v>
      </c>
      <c r="D68" s="117">
        <f t="shared" si="0"/>
        <v>0</v>
      </c>
      <c r="E68" s="117"/>
      <c r="F68" s="117">
        <f t="shared" si="1"/>
        <v>0</v>
      </c>
      <c r="G68" s="117"/>
      <c r="H68" s="3320"/>
      <c r="I68" s="3321"/>
      <c r="J68" s="96"/>
    </row>
    <row r="69" spans="1:10" ht="17">
      <c r="A69" s="30"/>
      <c r="B69" s="116">
        <v>6602</v>
      </c>
      <c r="C69" s="113" t="s">
        <v>685</v>
      </c>
      <c r="D69" s="117">
        <f t="shared" si="0"/>
        <v>580</v>
      </c>
      <c r="E69" s="117"/>
      <c r="F69" s="117">
        <f t="shared" si="1"/>
        <v>1000</v>
      </c>
      <c r="G69" s="117"/>
      <c r="H69" s="3320"/>
      <c r="I69" s="3321"/>
      <c r="J69" s="96"/>
    </row>
    <row r="70" spans="1:10" ht="17">
      <c r="A70" s="30"/>
      <c r="B70" s="121">
        <v>7399</v>
      </c>
      <c r="C70" s="122" t="s">
        <v>2272</v>
      </c>
      <c r="D70" s="123">
        <f t="shared" si="0"/>
        <v>17805.68</v>
      </c>
      <c r="E70" s="123"/>
      <c r="F70" s="123">
        <f t="shared" si="1"/>
        <v>15480.77</v>
      </c>
      <c r="G70" s="123"/>
      <c r="H70" s="3322"/>
      <c r="I70" s="3323"/>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09765625" defaultRowHeight="13"/>
  <cols>
    <col min="1" max="1" width="4.296875" style="1" customWidth="1"/>
    <col min="2" max="2" width="6.69921875" style="1" customWidth="1"/>
    <col min="3" max="3" width="25.8984375" style="1" customWidth="1"/>
    <col min="4" max="4" width="14.69921875" style="1" customWidth="1"/>
    <col min="5" max="5" width="9.69921875" style="1" customWidth="1"/>
    <col min="6" max="6" width="14.69921875" style="1" customWidth="1"/>
    <col min="7" max="8" width="9.69921875" style="1" customWidth="1"/>
    <col min="9" max="9" width="12.69921875" style="1" customWidth="1"/>
    <col min="10" max="10" width="9.69921875" style="1" customWidth="1"/>
    <col min="11" max="11" width="17.69921875" style="1" customWidth="1"/>
    <col min="12" max="16384" width="9.09765625" style="1"/>
  </cols>
  <sheetData>
    <row r="2" spans="1:11" ht="18" customHeight="1">
      <c r="B2" s="2" t="s">
        <v>2520</v>
      </c>
      <c r="C2" s="3" t="str">
        <f>Lead!$C$5</f>
        <v>余江县天骏投资管理有限公司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43864</v>
      </c>
      <c r="J3" s="14" t="s">
        <v>2524</v>
      </c>
      <c r="K3" s="2789" t="s">
        <v>6606</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7">
      <c r="A8" s="24"/>
      <c r="B8" s="131"/>
      <c r="C8" s="132"/>
      <c r="D8" s="133" t="s">
        <v>4987</v>
      </c>
      <c r="E8" s="26"/>
      <c r="F8" s="133" t="s">
        <v>5078</v>
      </c>
      <c r="G8" s="28"/>
      <c r="H8" s="28" t="s">
        <v>4989</v>
      </c>
      <c r="I8" s="133" t="s">
        <v>4990</v>
      </c>
      <c r="J8" s="26"/>
      <c r="K8" s="158"/>
    </row>
    <row r="9" spans="1:11" ht="17">
      <c r="A9" s="30"/>
      <c r="B9" s="134" t="s">
        <v>4991</v>
      </c>
      <c r="C9" s="135" t="s">
        <v>2529</v>
      </c>
      <c r="D9" s="136" t="s">
        <v>2887</v>
      </c>
      <c r="E9" s="137" t="s">
        <v>4992</v>
      </c>
      <c r="F9" s="138" t="s">
        <v>2887</v>
      </c>
      <c r="G9" s="138" t="s">
        <v>4992</v>
      </c>
      <c r="H9" s="139" t="s">
        <v>4993</v>
      </c>
      <c r="I9" s="137" t="s">
        <v>4994</v>
      </c>
      <c r="J9" s="137" t="s">
        <v>4995</v>
      </c>
      <c r="K9" s="159" t="s">
        <v>4996</v>
      </c>
    </row>
    <row r="10" spans="1:11" ht="17">
      <c r="A10" s="30"/>
      <c r="B10" s="140"/>
      <c r="C10" s="141"/>
      <c r="D10" s="142" t="s">
        <v>4997</v>
      </c>
      <c r="E10" s="143" t="s">
        <v>4998</v>
      </c>
      <c r="F10" s="144" t="s">
        <v>4999</v>
      </c>
      <c r="G10" s="144" t="s">
        <v>5000</v>
      </c>
      <c r="H10" s="145" t="s">
        <v>5001</v>
      </c>
      <c r="I10" s="160" t="s">
        <v>5002</v>
      </c>
      <c r="J10" s="160" t="s">
        <v>5003</v>
      </c>
      <c r="K10" s="161"/>
    </row>
    <row r="11" spans="1:11" ht="17">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7">
      <c r="A12" s="30"/>
      <c r="B12" s="150">
        <v>1000</v>
      </c>
      <c r="C12" s="151" t="str">
        <f t="shared" si="0"/>
        <v>流动资产：</v>
      </c>
      <c r="D12" s="70"/>
      <c r="E12" s="152"/>
      <c r="F12" s="70"/>
      <c r="G12" s="152"/>
      <c r="H12" s="149"/>
      <c r="I12" s="148"/>
      <c r="J12" s="149" t="str">
        <f t="shared" si="1"/>
        <v/>
      </c>
      <c r="K12" s="163"/>
    </row>
    <row r="13" spans="1:11" ht="17">
      <c r="A13" s="30"/>
      <c r="B13" s="150">
        <v>1015</v>
      </c>
      <c r="C13" s="151" t="str">
        <f t="shared" si="0"/>
        <v>货币资金</v>
      </c>
      <c r="D13" s="70">
        <f t="shared" ref="D13:D27" si="2">VLOOKUP($B13,Sheet_Trialbal,10,0)</f>
        <v>17805.68</v>
      </c>
      <c r="E13" s="152">
        <f>IF(D$55=0,"",D13/D$55)</f>
        <v>0.97370000000000001</v>
      </c>
      <c r="F13" s="70">
        <f t="shared" ref="F13:F27" si="3">VLOOKUP($B13,Sheet_Trialbal,6,0)</f>
        <v>15480.77</v>
      </c>
      <c r="G13" s="152">
        <f>IF(F$55=0,"",F13/F$55)</f>
        <v>0.96989999999999998</v>
      </c>
      <c r="H13" s="152">
        <f t="shared" ref="H13:H30" si="4">IF(OR(G13="",E13=""),"",G13-E13)</f>
        <v>-3.8E-3</v>
      </c>
      <c r="I13" s="70">
        <f t="shared" ref="I13" si="5">IF(OR(F13="",D13=""),"",F13-D13)</f>
        <v>-2324.91</v>
      </c>
      <c r="J13" s="152">
        <f t="shared" si="1"/>
        <v>-0.13059999999999999</v>
      </c>
      <c r="K13" s="163"/>
    </row>
    <row r="14" spans="1:11" ht="17">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6">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7">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7">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7">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7">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7">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7">
      <c r="A21" s="30"/>
      <c r="B21" s="150">
        <v>1220</v>
      </c>
      <c r="C21" s="151" t="str">
        <f>IF($B21="","",VLOOKUP($B21,Sheet_Items,2,0))</f>
        <v>其他应收款（报表项目）</v>
      </c>
      <c r="D21" s="70">
        <f t="shared" si="2"/>
        <v>0</v>
      </c>
      <c r="E21" s="152">
        <f t="shared" si="6"/>
        <v>0</v>
      </c>
      <c r="F21" s="70">
        <f t="shared" si="3"/>
        <v>0</v>
      </c>
      <c r="G21" s="152">
        <f t="shared" si="7"/>
        <v>0</v>
      </c>
      <c r="H21" s="152">
        <f t="shared" si="8"/>
        <v>0</v>
      </c>
      <c r="I21" s="70">
        <f t="shared" si="9"/>
        <v>0</v>
      </c>
      <c r="J21" s="152" t="str">
        <f t="shared" si="10"/>
        <v/>
      </c>
      <c r="K21" s="163"/>
    </row>
    <row r="22" spans="1:11" ht="17">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7">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7">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7">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7">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7">
      <c r="A27" s="30"/>
      <c r="B27" s="150">
        <v>1496</v>
      </c>
      <c r="C27" s="151" t="str">
        <f t="shared" si="0"/>
        <v>其他流动资产</v>
      </c>
      <c r="D27" s="70">
        <f t="shared" si="2"/>
        <v>480</v>
      </c>
      <c r="E27" s="152">
        <f t="shared" si="6"/>
        <v>2.63E-2</v>
      </c>
      <c r="F27" s="70">
        <f t="shared" si="3"/>
        <v>480</v>
      </c>
      <c r="G27" s="152">
        <f t="shared" si="7"/>
        <v>3.0099999999999998E-2</v>
      </c>
      <c r="H27" s="152">
        <f t="shared" si="8"/>
        <v>3.8E-3</v>
      </c>
      <c r="I27" s="70">
        <f t="shared" si="9"/>
        <v>0</v>
      </c>
      <c r="J27" s="152">
        <f t="shared" si="10"/>
        <v>0</v>
      </c>
      <c r="K27" s="163"/>
    </row>
    <row r="28" spans="1:11" ht="17">
      <c r="A28" s="30"/>
      <c r="B28" s="150">
        <v>1498</v>
      </c>
      <c r="C28" s="153" t="str">
        <f t="shared" si="0"/>
        <v>流动资产合计</v>
      </c>
      <c r="D28" s="154">
        <f>SUM(D13:D27)-SUM(D22,D23)</f>
        <v>18285.68</v>
      </c>
      <c r="E28" s="155">
        <f t="shared" ref="E28:I28" si="11">SUM(E13:E27)-SUM(E22,E23)</f>
        <v>1</v>
      </c>
      <c r="F28" s="154">
        <f t="shared" si="11"/>
        <v>15960.77</v>
      </c>
      <c r="G28" s="155">
        <f t="shared" si="11"/>
        <v>1</v>
      </c>
      <c r="H28" s="155">
        <f t="shared" si="11"/>
        <v>0</v>
      </c>
      <c r="I28" s="154">
        <f t="shared" si="11"/>
        <v>-2324.91</v>
      </c>
      <c r="J28" s="155">
        <f t="shared" si="1"/>
        <v>-0.12709999999999999</v>
      </c>
      <c r="K28" s="163"/>
    </row>
    <row r="29" spans="1:11" ht="17">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7">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7">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7">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7">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7">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7">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7">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7">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7">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7">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7">
      <c r="A40" s="30"/>
      <c r="B40" s="150">
        <v>1611</v>
      </c>
      <c r="C40" s="151" t="str">
        <f>IF($B40="","",VLOOKUP($B40,Sheet_Items,2,0))</f>
        <v>固定资产（报表项目）</v>
      </c>
      <c r="D40" s="70">
        <f t="shared" si="13"/>
        <v>0</v>
      </c>
      <c r="E40" s="152">
        <f t="shared" si="17"/>
        <v>0</v>
      </c>
      <c r="F40" s="70">
        <f t="shared" si="15"/>
        <v>0</v>
      </c>
      <c r="G40" s="152">
        <f t="shared" si="18"/>
        <v>0</v>
      </c>
      <c r="H40" s="152">
        <f t="shared" si="19"/>
        <v>0</v>
      </c>
      <c r="I40" s="70">
        <f t="shared" si="20"/>
        <v>0</v>
      </c>
      <c r="J40" s="152" t="str">
        <f t="shared" si="21"/>
        <v/>
      </c>
      <c r="K40" s="163"/>
    </row>
    <row r="41" spans="1:11" ht="17">
      <c r="A41" s="30"/>
      <c r="B41" s="150">
        <v>1601</v>
      </c>
      <c r="C41" s="151" t="str">
        <f>IF($B41="","",VLOOKUP($B41,Sheet_Items,6,0))</f>
        <v>其中：固定资产</v>
      </c>
      <c r="D41" s="70">
        <f t="shared" si="13"/>
        <v>0</v>
      </c>
      <c r="E41" s="152">
        <f t="shared" si="17"/>
        <v>0</v>
      </c>
      <c r="F41" s="70">
        <f t="shared" si="15"/>
        <v>0</v>
      </c>
      <c r="G41" s="152">
        <f t="shared" si="18"/>
        <v>0</v>
      </c>
      <c r="H41" s="152">
        <f t="shared" si="19"/>
        <v>0</v>
      </c>
      <c r="I41" s="70">
        <f t="shared" si="20"/>
        <v>0</v>
      </c>
      <c r="J41" s="152" t="str">
        <f t="shared" si="21"/>
        <v/>
      </c>
      <c r="K41" s="163"/>
    </row>
    <row r="42" spans="1:11" ht="17">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7">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7">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7">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7">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7">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7">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7">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7">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7">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7">
      <c r="A52" s="30"/>
      <c r="B52" s="150">
        <v>1811</v>
      </c>
      <c r="C52" s="151" t="str">
        <f t="shared" si="0"/>
        <v>递延所得税资产</v>
      </c>
      <c r="D52" s="70">
        <f t="shared" si="13"/>
        <v>0</v>
      </c>
      <c r="E52" s="152">
        <f t="shared" si="17"/>
        <v>0</v>
      </c>
      <c r="F52" s="70">
        <f t="shared" si="15"/>
        <v>0</v>
      </c>
      <c r="G52" s="152">
        <f t="shared" si="18"/>
        <v>0</v>
      </c>
      <c r="H52" s="152">
        <f t="shared" si="19"/>
        <v>0</v>
      </c>
      <c r="I52" s="70">
        <f t="shared" si="20"/>
        <v>0</v>
      </c>
      <c r="J52" s="152" t="str">
        <f t="shared" si="21"/>
        <v/>
      </c>
      <c r="K52" s="163"/>
    </row>
    <row r="53" spans="1:11" ht="17">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7">
      <c r="A54" s="30"/>
      <c r="B54" s="150">
        <v>1998</v>
      </c>
      <c r="C54" s="153" t="str">
        <f t="shared" ref="C54:C93" si="22">IF($B54="","",VLOOKUP($B54,Sheet_Items,6,0))</f>
        <v>非流动资产合计</v>
      </c>
      <c r="D54" s="154">
        <f>SUM(D30:D53)-SUM(D41,D42,D44,D45)</f>
        <v>0</v>
      </c>
      <c r="E54" s="156">
        <f t="shared" ref="E54:I54" si="23">SUM(E30:E53)-SUM(E41,E42,E44,E45)</f>
        <v>0</v>
      </c>
      <c r="F54" s="154">
        <f t="shared" si="23"/>
        <v>0</v>
      </c>
      <c r="G54" s="156">
        <f t="shared" si="23"/>
        <v>0</v>
      </c>
      <c r="H54" s="156">
        <f t="shared" si="23"/>
        <v>0</v>
      </c>
      <c r="I54" s="154">
        <f t="shared" si="23"/>
        <v>0</v>
      </c>
      <c r="J54" s="152" t="str">
        <f t="shared" si="1"/>
        <v/>
      </c>
      <c r="K54" s="163"/>
    </row>
    <row r="55" spans="1:11" ht="17">
      <c r="A55" s="30"/>
      <c r="B55" s="150">
        <v>1999</v>
      </c>
      <c r="C55" s="153" t="str">
        <f t="shared" si="22"/>
        <v>资产总计</v>
      </c>
      <c r="D55" s="154">
        <f t="shared" ref="D55:I55" si="24">SUM(D28,D54)</f>
        <v>18285.68</v>
      </c>
      <c r="E55" s="156">
        <f t="shared" si="24"/>
        <v>1</v>
      </c>
      <c r="F55" s="154">
        <f t="shared" si="24"/>
        <v>15960.77</v>
      </c>
      <c r="G55" s="156">
        <f t="shared" si="24"/>
        <v>1</v>
      </c>
      <c r="H55" s="156">
        <f t="shared" si="24"/>
        <v>0</v>
      </c>
      <c r="I55" s="154">
        <f t="shared" si="24"/>
        <v>-2324.91</v>
      </c>
      <c r="J55" s="155">
        <f t="shared" si="1"/>
        <v>-0.12709999999999999</v>
      </c>
      <c r="K55" s="163"/>
    </row>
    <row r="56" spans="1:11" ht="17">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7">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7">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6">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7">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7">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7">
      <c r="A62" s="30"/>
      <c r="B62" s="150">
        <v>2202</v>
      </c>
      <c r="C62" s="151" t="str">
        <f t="shared" si="22"/>
        <v>应付账款</v>
      </c>
      <c r="D62" s="70">
        <f t="shared" si="28"/>
        <v>0</v>
      </c>
      <c r="E62" s="152">
        <f t="shared" si="30"/>
        <v>0</v>
      </c>
      <c r="F62" s="70">
        <f t="shared" si="29"/>
        <v>0</v>
      </c>
      <c r="G62" s="152">
        <f t="shared" si="31"/>
        <v>0</v>
      </c>
      <c r="H62" s="152">
        <f t="shared" si="32"/>
        <v>0</v>
      </c>
      <c r="I62" s="70">
        <f t="shared" si="33"/>
        <v>0</v>
      </c>
      <c r="J62" s="152" t="str">
        <f t="shared" si="34"/>
        <v/>
      </c>
      <c r="K62" s="163"/>
    </row>
    <row r="63" spans="1:11" ht="17">
      <c r="A63" s="30"/>
      <c r="B63" s="150">
        <v>2205</v>
      </c>
      <c r="C63" s="151" t="str">
        <f t="shared" si="22"/>
        <v>预收款项</v>
      </c>
      <c r="D63" s="70">
        <f t="shared" si="28"/>
        <v>0</v>
      </c>
      <c r="E63" s="152">
        <f t="shared" si="30"/>
        <v>0</v>
      </c>
      <c r="F63" s="70">
        <f t="shared" si="29"/>
        <v>0</v>
      </c>
      <c r="G63" s="152">
        <f t="shared" si="31"/>
        <v>0</v>
      </c>
      <c r="H63" s="152">
        <f t="shared" si="32"/>
        <v>0</v>
      </c>
      <c r="I63" s="70">
        <f t="shared" si="33"/>
        <v>0</v>
      </c>
      <c r="J63" s="152" t="str">
        <f t="shared" si="34"/>
        <v/>
      </c>
      <c r="K63" s="163"/>
    </row>
    <row r="64" spans="1:11" ht="17">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7">
      <c r="A65" s="30"/>
      <c r="B65" s="150">
        <v>2221</v>
      </c>
      <c r="C65" s="151" t="str">
        <f t="shared" si="22"/>
        <v>应交税费</v>
      </c>
      <c r="D65" s="70">
        <f t="shared" si="28"/>
        <v>0</v>
      </c>
      <c r="E65" s="152">
        <f t="shared" si="30"/>
        <v>0</v>
      </c>
      <c r="F65" s="70">
        <f t="shared" si="29"/>
        <v>0</v>
      </c>
      <c r="G65" s="152">
        <f t="shared" si="31"/>
        <v>0</v>
      </c>
      <c r="H65" s="152">
        <f t="shared" si="32"/>
        <v>0</v>
      </c>
      <c r="I65" s="70">
        <f t="shared" si="33"/>
        <v>0</v>
      </c>
      <c r="J65" s="152" t="str">
        <f t="shared" si="34"/>
        <v/>
      </c>
      <c r="K65" s="163"/>
    </row>
    <row r="66" spans="1:11" ht="17">
      <c r="A66" s="30"/>
      <c r="B66" s="150">
        <v>2246</v>
      </c>
      <c r="C66" s="151" t="str">
        <f>IF($B66="","",VLOOKUP($B66,Sheet_Items,2,0))</f>
        <v>其他应付款（报表项目）</v>
      </c>
      <c r="D66" s="70">
        <f t="shared" si="28"/>
        <v>20000</v>
      </c>
      <c r="E66" s="152">
        <f t="shared" si="30"/>
        <v>1</v>
      </c>
      <c r="F66" s="70">
        <f t="shared" si="29"/>
        <v>20000</v>
      </c>
      <c r="G66" s="152">
        <f t="shared" si="31"/>
        <v>1</v>
      </c>
      <c r="H66" s="152">
        <f t="shared" si="32"/>
        <v>0</v>
      </c>
      <c r="I66" s="70">
        <f t="shared" si="33"/>
        <v>0</v>
      </c>
      <c r="J66" s="152">
        <f t="shared" si="34"/>
        <v>0</v>
      </c>
      <c r="K66" s="163"/>
    </row>
    <row r="67" spans="1:11" ht="17">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7">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7">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7">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7">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7">
      <c r="A72" s="30"/>
      <c r="B72" s="150">
        <v>2498</v>
      </c>
      <c r="C72" s="153" t="str">
        <f t="shared" si="22"/>
        <v>流动负债合计</v>
      </c>
      <c r="D72" s="154">
        <f>SUM(D57:D71)-SUM(D67,D68)</f>
        <v>20000</v>
      </c>
      <c r="E72" s="156">
        <f t="shared" ref="E72:I72" si="35">SUM(E57:E71)-SUM(E67,E68)</f>
        <v>1</v>
      </c>
      <c r="F72" s="154">
        <f t="shared" si="35"/>
        <v>20000</v>
      </c>
      <c r="G72" s="156">
        <f t="shared" si="35"/>
        <v>1</v>
      </c>
      <c r="H72" s="156">
        <f t="shared" si="35"/>
        <v>0</v>
      </c>
      <c r="I72" s="154">
        <f t="shared" si="35"/>
        <v>0</v>
      </c>
      <c r="J72" s="152">
        <f t="shared" si="27"/>
        <v>0</v>
      </c>
      <c r="K72" s="163"/>
    </row>
    <row r="73" spans="1:11" ht="17">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7">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7">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7">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7">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7">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7">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7">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7">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7">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7">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7">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7">
      <c r="A85" s="30"/>
      <c r="B85" s="150">
        <v>2999</v>
      </c>
      <c r="C85" s="153" t="str">
        <f t="shared" si="22"/>
        <v>负债合计</v>
      </c>
      <c r="D85" s="154">
        <f>SUM(D72,D84)</f>
        <v>20000</v>
      </c>
      <c r="E85" s="156">
        <f>SUM(E72,E84)</f>
        <v>1</v>
      </c>
      <c r="F85" s="154">
        <f>SUM(F72,F84)</f>
        <v>20000</v>
      </c>
      <c r="G85" s="156">
        <f>SUM(G72,G84)</f>
        <v>1</v>
      </c>
      <c r="H85" s="156"/>
      <c r="I85" s="154">
        <f>SUM(I72,I84)</f>
        <v>0</v>
      </c>
      <c r="J85" s="155">
        <f t="shared" si="27"/>
        <v>0</v>
      </c>
      <c r="K85" s="163"/>
    </row>
    <row r="86" spans="1:11" ht="17">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7">
      <c r="A87" s="30"/>
      <c r="B87" s="150">
        <v>4001</v>
      </c>
      <c r="C87" s="151" t="str">
        <f t="shared" si="22"/>
        <v>股本</v>
      </c>
      <c r="D87" s="70">
        <f t="shared" ref="D87:D97" si="47">VLOOKUP($B87,Sheet_Trialbal,10,0)</f>
        <v>0</v>
      </c>
      <c r="E87" s="152">
        <f>IF(D$98=0,"",D87/D$98)</f>
        <v>0</v>
      </c>
      <c r="F87" s="70">
        <f t="shared" ref="F87:F97" si="48">VLOOKUP($B87,Sheet_Trialbal,6,0)</f>
        <v>0</v>
      </c>
      <c r="G87" s="152">
        <f>IF(F$98=0,"",F87/F$98)</f>
        <v>0</v>
      </c>
      <c r="H87" s="152">
        <f t="shared" si="45"/>
        <v>0</v>
      </c>
      <c r="I87" s="70">
        <f t="shared" si="46"/>
        <v>0</v>
      </c>
      <c r="J87" s="152" t="str">
        <f t="shared" si="27"/>
        <v/>
      </c>
      <c r="K87" s="163"/>
    </row>
    <row r="88" spans="1:11" ht="17">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7">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7">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7">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7">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7">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7">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7">
      <c r="A95" s="30"/>
      <c r="B95" s="150">
        <v>4200</v>
      </c>
      <c r="C95" s="151" t="str">
        <f t="shared" si="54"/>
        <v>未分配利润</v>
      </c>
      <c r="D95" s="70">
        <f t="shared" si="47"/>
        <v>-1714.32</v>
      </c>
      <c r="E95" s="152">
        <f t="shared" si="49"/>
        <v>1</v>
      </c>
      <c r="F95" s="70">
        <f t="shared" si="48"/>
        <v>-4039.23</v>
      </c>
      <c r="G95" s="152">
        <f t="shared" si="50"/>
        <v>1</v>
      </c>
      <c r="H95" s="152">
        <f t="shared" si="51"/>
        <v>0</v>
      </c>
      <c r="I95" s="70">
        <f t="shared" si="52"/>
        <v>-2324.91</v>
      </c>
      <c r="J95" s="152">
        <f t="shared" si="53"/>
        <v>1.3562000000000001</v>
      </c>
      <c r="K95" s="163"/>
    </row>
    <row r="96" spans="1:11" ht="17">
      <c r="A96" s="30"/>
      <c r="B96" s="150">
        <v>4298</v>
      </c>
      <c r="C96" s="164" t="str">
        <f t="shared" si="54"/>
        <v>归属于母公司所有者权益合计</v>
      </c>
      <c r="D96" s="154">
        <f>SUM(D87:D89,-D90,D91:D95)</f>
        <v>-1714.32</v>
      </c>
      <c r="E96" s="155">
        <f t="shared" ref="E96:E97" si="55">IF(D$98=0,"",D96/D$98)</f>
        <v>1</v>
      </c>
      <c r="F96" s="154">
        <f>SUM(F87:F89,-F90,F91:F95)</f>
        <v>-4039.23</v>
      </c>
      <c r="G96" s="155">
        <f t="shared" ref="G96:G97" si="56">IF(F$98=0,"",F96/F$98)</f>
        <v>1</v>
      </c>
      <c r="H96" s="155">
        <f t="shared" si="45"/>
        <v>0</v>
      </c>
      <c r="I96" s="154">
        <f>SUM(I87:I89,-I90,I91:I95)</f>
        <v>-2324.91</v>
      </c>
      <c r="J96" s="152">
        <f t="shared" si="27"/>
        <v>1.3562000000000001</v>
      </c>
      <c r="K96" s="163"/>
    </row>
    <row r="97" spans="1:11" ht="17">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7">
      <c r="A98" s="30"/>
      <c r="B98" s="150">
        <v>4999</v>
      </c>
      <c r="C98" s="164" t="str">
        <f t="shared" si="54"/>
        <v>所有者权益合计</v>
      </c>
      <c r="D98" s="154">
        <f t="shared" ref="D98:I98" si="60">SUM(D96,D97)</f>
        <v>-1714.32</v>
      </c>
      <c r="E98" s="156">
        <f t="shared" si="60"/>
        <v>1</v>
      </c>
      <c r="F98" s="154">
        <f t="shared" si="60"/>
        <v>-4039.23</v>
      </c>
      <c r="G98" s="156">
        <f t="shared" si="60"/>
        <v>1</v>
      </c>
      <c r="H98" s="156">
        <f t="shared" si="60"/>
        <v>0</v>
      </c>
      <c r="I98" s="154">
        <f t="shared" si="60"/>
        <v>-2324.91</v>
      </c>
      <c r="J98" s="152">
        <f t="shared" si="27"/>
        <v>1.3562000000000001</v>
      </c>
      <c r="K98" s="163"/>
    </row>
    <row r="99" spans="1:11" ht="17">
      <c r="A99" s="30"/>
      <c r="B99" s="150">
        <v>5000</v>
      </c>
      <c r="C99" s="153" t="str">
        <f t="shared" si="54"/>
        <v>负债和所有者权益总计</v>
      </c>
      <c r="D99" s="154">
        <f>SUM(D85,D98)</f>
        <v>18285.68</v>
      </c>
      <c r="E99" s="152"/>
      <c r="F99" s="154">
        <f>SUM(F85,F98)</f>
        <v>15960.77</v>
      </c>
      <c r="G99" s="152"/>
      <c r="H99" s="152" t="str">
        <f t="shared" ref="H99:H101" si="61">IF(OR(G99="",E99=""),"",G99-E99)</f>
        <v/>
      </c>
      <c r="I99" s="154">
        <f>SUM(I85,I98)</f>
        <v>-2324.91</v>
      </c>
      <c r="J99" s="152">
        <f t="shared" si="27"/>
        <v>-0.12709999999999999</v>
      </c>
      <c r="K99" s="163"/>
    </row>
    <row r="100" spans="1:11" ht="17">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7">
      <c r="A101" s="30"/>
      <c r="B101" s="150">
        <v>6001</v>
      </c>
      <c r="C101" s="151" t="str">
        <f t="shared" ref="C101:C124" si="64">IF($B101="","",VLOOKUP($B101,Sheet_Items,2,0))</f>
        <v>营业收入</v>
      </c>
      <c r="D101" s="70">
        <f t="shared" ref="D101:D114" si="65">VLOOKUP($B101,Sheet_Trialbal,10,0)</f>
        <v>0</v>
      </c>
      <c r="E101" s="152"/>
      <c r="F101" s="70">
        <f t="shared" ref="F101:F114" si="66">VLOOKUP($B101,Sheet_Trialbal,6,0)</f>
        <v>0</v>
      </c>
      <c r="G101" s="152"/>
      <c r="H101" s="152" t="str">
        <f t="shared" si="61"/>
        <v/>
      </c>
      <c r="I101" s="70">
        <f t="shared" si="62"/>
        <v>0</v>
      </c>
      <c r="J101" s="152" t="str">
        <f t="shared" si="63"/>
        <v/>
      </c>
      <c r="K101" s="163"/>
    </row>
    <row r="102" spans="1:11" ht="17">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7">
      <c r="A103" s="30"/>
      <c r="B103" s="150">
        <v>6600</v>
      </c>
      <c r="C103" s="151" t="str">
        <f t="shared" si="64"/>
        <v>税金及附加</v>
      </c>
      <c r="D103" s="70">
        <f t="shared" si="65"/>
        <v>0</v>
      </c>
      <c r="E103" s="152"/>
      <c r="F103" s="70">
        <f t="shared" si="66"/>
        <v>0</v>
      </c>
      <c r="G103" s="152"/>
      <c r="H103" s="152" t="str">
        <f t="shared" si="67"/>
        <v/>
      </c>
      <c r="I103" s="70">
        <f t="shared" si="68"/>
        <v>0</v>
      </c>
      <c r="J103" s="152" t="str">
        <f t="shared" si="69"/>
        <v/>
      </c>
      <c r="K103" s="163"/>
    </row>
    <row r="104" spans="1:11" ht="17">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7">
      <c r="A105" s="30"/>
      <c r="B105" s="150">
        <v>6602</v>
      </c>
      <c r="C105" s="151" t="str">
        <f t="shared" si="64"/>
        <v>管理费用</v>
      </c>
      <c r="D105" s="70">
        <f t="shared" si="65"/>
        <v>580</v>
      </c>
      <c r="E105" s="152"/>
      <c r="F105" s="70">
        <f t="shared" si="66"/>
        <v>1000</v>
      </c>
      <c r="G105" s="152"/>
      <c r="H105" s="152" t="str">
        <f t="shared" si="67"/>
        <v/>
      </c>
      <c r="I105" s="70">
        <f t="shared" si="68"/>
        <v>420</v>
      </c>
      <c r="J105" s="152">
        <f t="shared" si="69"/>
        <v>0.72409999999999997</v>
      </c>
      <c r="K105" s="163"/>
    </row>
    <row r="106" spans="1:11" ht="17">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7">
      <c r="A107" s="30"/>
      <c r="B107" s="150">
        <v>6603</v>
      </c>
      <c r="C107" s="151" t="str">
        <f t="shared" si="64"/>
        <v>财务费用</v>
      </c>
      <c r="D107" s="70">
        <f t="shared" si="65"/>
        <v>1134.32</v>
      </c>
      <c r="E107" s="152"/>
      <c r="F107" s="70">
        <f t="shared" si="66"/>
        <v>1324.91</v>
      </c>
      <c r="G107" s="152"/>
      <c r="H107" s="152" t="str">
        <f t="shared" si="67"/>
        <v/>
      </c>
      <c r="I107" s="70">
        <f t="shared" si="68"/>
        <v>190.59</v>
      </c>
      <c r="J107" s="152">
        <f t="shared" si="69"/>
        <v>0.16800000000000001</v>
      </c>
      <c r="K107" s="163"/>
    </row>
    <row r="108" spans="1:11" ht="17">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7">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7">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7">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6">
      <c r="A112" s="30"/>
      <c r="B112" s="150">
        <v>6672</v>
      </c>
      <c r="C112" s="151" t="str">
        <f>IF($B112="","",VLOOKUP($B112,Sheet_Items,6,0))</f>
        <v>信用减值损失（损失以“-”号填列）</v>
      </c>
      <c r="D112" s="70">
        <f t="shared" si="65"/>
        <v>0</v>
      </c>
      <c r="E112" s="152"/>
      <c r="F112" s="70">
        <f t="shared" si="66"/>
        <v>0</v>
      </c>
      <c r="G112" s="152"/>
      <c r="H112" s="152" t="str">
        <f t="shared" si="67"/>
        <v/>
      </c>
      <c r="I112" s="70">
        <f t="shared" si="68"/>
        <v>0</v>
      </c>
      <c r="J112" s="152" t="str">
        <f t="shared" si="69"/>
        <v/>
      </c>
      <c r="K112" s="163"/>
    </row>
    <row r="113" spans="1:11" ht="26">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7">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7">
      <c r="A115" s="30"/>
      <c r="B115" s="150">
        <v>6689</v>
      </c>
      <c r="C115" s="153" t="str">
        <f t="shared" si="64"/>
        <v>营业利润</v>
      </c>
      <c r="D115" s="154">
        <f>SUM(D101)-SUM(D102:D107)+SUM(D108:D114)</f>
        <v>-1714.32</v>
      </c>
      <c r="E115" s="152">
        <f t="shared" ref="E115:I115" si="70">SUM(E101)-SUM(E102:E107)+SUM(E108:E114)</f>
        <v>0</v>
      </c>
      <c r="F115" s="154">
        <f t="shared" si="70"/>
        <v>-2324.91</v>
      </c>
      <c r="G115" s="152">
        <f t="shared" si="70"/>
        <v>0</v>
      </c>
      <c r="H115" s="152">
        <f t="shared" si="70"/>
        <v>0</v>
      </c>
      <c r="I115" s="154">
        <f t="shared" si="70"/>
        <v>-610.59</v>
      </c>
      <c r="J115" s="152">
        <f t="shared" si="63"/>
        <v>0.35620000000000002</v>
      </c>
      <c r="K115" s="163"/>
    </row>
    <row r="116" spans="1:11" ht="17">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7">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7">
      <c r="A118" s="30"/>
      <c r="B118" s="150">
        <v>6788</v>
      </c>
      <c r="C118" s="153" t="str">
        <f t="shared" si="64"/>
        <v>利润总额</v>
      </c>
      <c r="D118" s="154">
        <f>SUM(D115,D116,-D117)</f>
        <v>-1714.32</v>
      </c>
      <c r="E118" s="152"/>
      <c r="F118" s="154">
        <f>SUM(F115,F116,-F117)</f>
        <v>-2324.91</v>
      </c>
      <c r="G118" s="152"/>
      <c r="H118" s="152" t="str">
        <f t="shared" si="71"/>
        <v/>
      </c>
      <c r="I118" s="154">
        <f>SUM(I115,I116,-I117)</f>
        <v>-610.59</v>
      </c>
      <c r="J118" s="155">
        <f t="shared" si="63"/>
        <v>0.35620000000000002</v>
      </c>
      <c r="K118" s="163"/>
    </row>
    <row r="119" spans="1:11" ht="17">
      <c r="A119" s="30"/>
      <c r="B119" s="150">
        <v>6791</v>
      </c>
      <c r="C119" s="151" t="str">
        <f t="shared" si="64"/>
        <v>所得税费用</v>
      </c>
      <c r="D119" s="70">
        <f>VLOOKUP($B119,Sheet_Trialbal,10,0)</f>
        <v>0</v>
      </c>
      <c r="E119" s="152"/>
      <c r="F119" s="70">
        <f>VLOOKUP($B119,Sheet_Trialbal,6,0)</f>
        <v>0</v>
      </c>
      <c r="G119" s="152"/>
      <c r="H119" s="152" t="str">
        <f t="shared" si="71"/>
        <v/>
      </c>
      <c r="I119" s="70">
        <f t="shared" ref="I119:I125" si="72">IF(OR(F119="",D119=""),"",F119-D119)</f>
        <v>0</v>
      </c>
      <c r="J119" s="152" t="str">
        <f t="shared" si="63"/>
        <v/>
      </c>
      <c r="K119" s="163"/>
    </row>
    <row r="120" spans="1:11" ht="17">
      <c r="A120" s="30"/>
      <c r="B120" s="150">
        <v>6799</v>
      </c>
      <c r="C120" s="153" t="str">
        <f t="shared" si="64"/>
        <v>净利润</v>
      </c>
      <c r="D120" s="154">
        <f>SUM(D118,-D119)</f>
        <v>-1714.32</v>
      </c>
      <c r="E120" s="152"/>
      <c r="F120" s="154">
        <f>SUM(F118,-F119)</f>
        <v>-2324.91</v>
      </c>
      <c r="G120" s="152"/>
      <c r="H120" s="152" t="str">
        <f t="shared" si="71"/>
        <v/>
      </c>
      <c r="I120" s="154">
        <f t="shared" si="72"/>
        <v>-610.59</v>
      </c>
      <c r="J120" s="155">
        <f t="shared" si="63"/>
        <v>0.35620000000000002</v>
      </c>
      <c r="K120" s="163"/>
    </row>
    <row r="121" spans="1:11" ht="26">
      <c r="A121" s="30"/>
      <c r="B121" s="150">
        <v>6811</v>
      </c>
      <c r="C121" s="151" t="str">
        <f t="shared" si="64"/>
        <v>归属于母公司所有者的净利润</v>
      </c>
      <c r="D121" s="70">
        <f>VLOOKUP($B121,Sheet_Trialbal,10,0)</f>
        <v>-1714.32</v>
      </c>
      <c r="E121" s="152"/>
      <c r="F121" s="70">
        <f>VLOOKUP($B121,Sheet_Trialbal,6,0)</f>
        <v>-2324.91</v>
      </c>
      <c r="G121" s="152"/>
      <c r="H121" s="152" t="str">
        <f t="shared" si="71"/>
        <v/>
      </c>
      <c r="I121" s="70">
        <f t="shared" si="72"/>
        <v>-610.59</v>
      </c>
      <c r="J121" s="152">
        <f t="shared" si="63"/>
        <v>0.35620000000000002</v>
      </c>
      <c r="K121" s="163"/>
    </row>
    <row r="122" spans="1:11" ht="17">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7">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7">
      <c r="A124" s="30"/>
      <c r="B124" s="150">
        <v>6839</v>
      </c>
      <c r="C124" s="153" t="str">
        <f t="shared" si="64"/>
        <v>综合收益总额</v>
      </c>
      <c r="D124" s="154">
        <f>SUM(D120,D123)</f>
        <v>-1714.32</v>
      </c>
      <c r="E124" s="152"/>
      <c r="F124" s="154">
        <f>SUM(F120,F123)</f>
        <v>-2324.91</v>
      </c>
      <c r="G124" s="152"/>
      <c r="H124" s="152" t="str">
        <f t="shared" si="71"/>
        <v/>
      </c>
      <c r="I124" s="154">
        <f t="shared" si="72"/>
        <v>-610.59</v>
      </c>
      <c r="J124" s="155">
        <f t="shared" si="63"/>
        <v>0.35620000000000002</v>
      </c>
      <c r="K124" s="163"/>
    </row>
    <row r="125" spans="1:11" ht="17">
      <c r="A125" s="30"/>
      <c r="B125" s="36"/>
      <c r="C125" s="37"/>
      <c r="D125" s="166"/>
      <c r="E125" s="167"/>
      <c r="F125" s="166"/>
      <c r="G125" s="167"/>
      <c r="H125" s="167" t="str">
        <f t="shared" si="71"/>
        <v/>
      </c>
      <c r="I125" s="166" t="str">
        <f t="shared" si="72"/>
        <v/>
      </c>
      <c r="J125" s="167" t="str">
        <f t="shared" si="63"/>
        <v/>
      </c>
      <c r="K125" s="171"/>
    </row>
    <row r="126" spans="1:11" ht="17">
      <c r="A126" s="30"/>
      <c r="B126" s="1458" t="s">
        <v>4867</v>
      </c>
      <c r="C126" s="168" t="s">
        <v>5079</v>
      </c>
      <c r="D126" s="169"/>
      <c r="E126" s="170"/>
      <c r="F126" s="169"/>
      <c r="G126" s="170"/>
      <c r="H126" s="170"/>
      <c r="I126" s="169"/>
      <c r="J126" s="170"/>
      <c r="K126" s="45"/>
    </row>
    <row r="127" spans="1:11" ht="17">
      <c r="A127" s="30"/>
      <c r="B127" s="44"/>
      <c r="C127" s="45"/>
      <c r="D127" s="169"/>
      <c r="E127" s="170"/>
      <c r="F127" s="169"/>
      <c r="G127" s="170"/>
      <c r="H127" s="170"/>
      <c r="I127" s="169"/>
      <c r="J127" s="170"/>
      <c r="K127" s="45"/>
    </row>
    <row r="128" spans="1:11" ht="17">
      <c r="A128" s="30"/>
      <c r="B128" s="44"/>
      <c r="C128" s="45"/>
      <c r="D128" s="169"/>
      <c r="E128" s="170"/>
      <c r="F128" s="169"/>
      <c r="G128" s="170"/>
      <c r="H128" s="170"/>
      <c r="I128" s="169"/>
      <c r="J128" s="170"/>
      <c r="K128" s="45"/>
    </row>
    <row r="129" spans="1:11" ht="17">
      <c r="A129" s="30"/>
      <c r="B129" s="44"/>
      <c r="C129" s="45"/>
      <c r="D129" s="169"/>
      <c r="E129" s="170"/>
      <c r="F129" s="169"/>
      <c r="G129" s="170"/>
      <c r="H129" s="170"/>
      <c r="I129" s="169"/>
      <c r="J129" s="170"/>
      <c r="K129" s="45"/>
    </row>
    <row r="130" spans="1:11" ht="17">
      <c r="A130" s="30"/>
      <c r="B130" s="52"/>
      <c r="C130" s="52"/>
      <c r="D130" s="52"/>
      <c r="E130" s="52"/>
      <c r="F130" s="52"/>
      <c r="G130" s="52"/>
      <c r="H130" s="52"/>
      <c r="I130" s="52"/>
      <c r="J130" s="52"/>
      <c r="K130" s="52"/>
    </row>
    <row r="131" spans="1:11" ht="17">
      <c r="A131" s="30"/>
    </row>
    <row r="132" spans="1:11" ht="17">
      <c r="A132" s="30"/>
    </row>
    <row r="133" spans="1:11" ht="17">
      <c r="A133" s="30"/>
    </row>
    <row r="134" spans="1:11" ht="17">
      <c r="A134" s="30"/>
    </row>
    <row r="135" spans="1:11" ht="17">
      <c r="A135" s="30"/>
    </row>
    <row r="136" spans="1:11" ht="17">
      <c r="A136" s="30"/>
    </row>
    <row r="137" spans="1:11" ht="17">
      <c r="A137" s="30"/>
    </row>
    <row r="138" spans="1:11" ht="17">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09765625" defaultRowHeight="13"/>
  <cols>
    <col min="1" max="1" width="4.296875" style="1" customWidth="1"/>
    <col min="2" max="2" width="6.69921875" style="1" customWidth="1"/>
    <col min="3" max="3" width="31.09765625" style="1" customWidth="1"/>
    <col min="4" max="7" width="14.69921875" style="1" customWidth="1"/>
    <col min="8" max="9" width="8.69921875" style="1" customWidth="1"/>
    <col min="10" max="16384" width="9.09765625" style="1"/>
  </cols>
  <sheetData>
    <row r="2" spans="1:10" ht="18" customHeight="1">
      <c r="B2" s="2" t="s">
        <v>2520</v>
      </c>
      <c r="C2" s="3" t="str">
        <f>Lead!$C$5</f>
        <v>余江县天骏投资管理有限公司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43864</v>
      </c>
      <c r="H3" s="14" t="s">
        <v>2524</v>
      </c>
      <c r="I3" s="2747" t="s">
        <v>6599</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6.5">
      <c r="A8" s="24"/>
      <c r="B8" s="63" t="s">
        <v>2528</v>
      </c>
      <c r="C8" s="64" t="s">
        <v>5006</v>
      </c>
      <c r="D8" s="65" t="s">
        <v>5007</v>
      </c>
      <c r="E8" s="64" t="s">
        <v>5008</v>
      </c>
      <c r="F8" s="66" t="s">
        <v>5080</v>
      </c>
      <c r="G8" s="66" t="s">
        <v>5010</v>
      </c>
      <c r="H8" s="67" t="s">
        <v>2508</v>
      </c>
      <c r="I8" s="98"/>
      <c r="J8" s="99" t="s">
        <v>5011</v>
      </c>
    </row>
    <row r="9" spans="1:10" ht="17">
      <c r="A9" s="30"/>
      <c r="B9" s="68">
        <v>1</v>
      </c>
      <c r="C9" s="69" t="s">
        <v>5081</v>
      </c>
      <c r="D9" s="70"/>
      <c r="E9" s="70"/>
      <c r="F9" s="70"/>
      <c r="G9" s="70"/>
      <c r="H9" s="71" t="s">
        <v>5059</v>
      </c>
      <c r="I9" s="100"/>
      <c r="J9" s="97" t="s">
        <v>918</v>
      </c>
    </row>
    <row r="10" spans="1:10" ht="17">
      <c r="A10" s="30"/>
      <c r="B10" s="31">
        <v>6001</v>
      </c>
      <c r="C10" s="72" t="s">
        <v>631</v>
      </c>
      <c r="D10" s="70">
        <f>VLOOKUP($B10,Sheet_Trialbal,10,0)</f>
        <v>0</v>
      </c>
      <c r="E10" s="70"/>
      <c r="F10" s="70">
        <f>VLOOKUP($B10,Sheet_Trialbal,6,0)</f>
        <v>0</v>
      </c>
      <c r="G10" s="70"/>
      <c r="H10" s="3324"/>
      <c r="I10" s="3325"/>
      <c r="J10" s="101" t="s">
        <v>5063</v>
      </c>
    </row>
    <row r="11" spans="1:10" ht="17">
      <c r="A11" s="30"/>
      <c r="B11" s="31"/>
      <c r="C11" s="72" t="s">
        <v>5076</v>
      </c>
      <c r="D11" s="70">
        <f>D10-D106</f>
        <v>0</v>
      </c>
      <c r="E11" s="70"/>
      <c r="F11" s="70">
        <f>F10-F106</f>
        <v>0</v>
      </c>
      <c r="G11" s="70"/>
      <c r="H11" s="73"/>
      <c r="I11" s="56"/>
      <c r="J11" s="96"/>
    </row>
    <row r="12" spans="1:10" ht="17">
      <c r="A12" s="30"/>
      <c r="B12" s="31">
        <v>6111</v>
      </c>
      <c r="C12" s="72" t="s">
        <v>656</v>
      </c>
      <c r="D12" s="70">
        <f>VLOOKUP($B12,Sheet_Trialbal,10,0)</f>
        <v>0</v>
      </c>
      <c r="E12" s="70"/>
      <c r="F12" s="70">
        <f>VLOOKUP($B12,Sheet_Trialbal,6,0)</f>
        <v>0</v>
      </c>
      <c r="G12" s="70"/>
      <c r="H12" s="74" t="s">
        <v>5059</v>
      </c>
      <c r="I12" s="56"/>
      <c r="J12" s="96"/>
    </row>
    <row r="13" spans="1:10" ht="17">
      <c r="A13" s="30"/>
      <c r="B13" s="31">
        <v>6689</v>
      </c>
      <c r="C13" s="72" t="s">
        <v>833</v>
      </c>
      <c r="D13" s="70">
        <f>VLOOKUP($B13,Sheet_Trialbal,10,0)</f>
        <v>-1714.32</v>
      </c>
      <c r="E13" s="70"/>
      <c r="F13" s="70">
        <f>VLOOKUP($B13,Sheet_Trialbal,6,0)</f>
        <v>-2324.91</v>
      </c>
      <c r="G13" s="70"/>
      <c r="H13" s="3324"/>
      <c r="I13" s="3325"/>
      <c r="J13" s="101" t="s">
        <v>5063</v>
      </c>
    </row>
    <row r="14" spans="1:10" ht="17">
      <c r="A14" s="30"/>
      <c r="B14" s="31">
        <v>6799</v>
      </c>
      <c r="C14" s="72" t="s">
        <v>871</v>
      </c>
      <c r="D14" s="70">
        <f>VLOOKUP($B14,Sheet_Trialbal,10,0)</f>
        <v>-1714.32</v>
      </c>
      <c r="E14" s="70"/>
      <c r="F14" s="70">
        <f>VLOOKUP($B14,Sheet_Trialbal,6,0)</f>
        <v>-2324.91</v>
      </c>
      <c r="G14" s="70"/>
      <c r="H14" s="3324"/>
      <c r="I14" s="3325"/>
      <c r="J14" s="101" t="s">
        <v>5063</v>
      </c>
    </row>
    <row r="15" spans="1:10" ht="17">
      <c r="A15" s="30"/>
      <c r="B15" s="31">
        <v>6811</v>
      </c>
      <c r="C15" s="72" t="s">
        <v>5077</v>
      </c>
      <c r="D15" s="70">
        <f>VLOOKUP($B15,Sheet_Trialbal,10,0)</f>
        <v>-1714.32</v>
      </c>
      <c r="E15" s="70"/>
      <c r="F15" s="70">
        <f>VLOOKUP($B15,Sheet_Trialbal,6,0)</f>
        <v>-2324.91</v>
      </c>
      <c r="G15" s="70"/>
      <c r="H15" s="34"/>
      <c r="I15" s="56"/>
      <c r="J15" s="96"/>
    </row>
    <row r="16" spans="1:10" ht="17">
      <c r="A16" s="30"/>
      <c r="B16" s="31">
        <v>2</v>
      </c>
      <c r="C16" s="69" t="s">
        <v>5012</v>
      </c>
      <c r="D16" s="70"/>
      <c r="E16" s="70"/>
      <c r="F16" s="70"/>
      <c r="G16" s="70"/>
      <c r="H16" s="34"/>
      <c r="I16" s="56"/>
      <c r="J16" s="96"/>
    </row>
    <row r="17" spans="1:10" ht="17">
      <c r="A17" s="30"/>
      <c r="B17" s="31"/>
      <c r="C17" s="72" t="s">
        <v>5013</v>
      </c>
      <c r="D17" s="75" t="str">
        <f>IF(D10=0,"",D11/D10)</f>
        <v/>
      </c>
      <c r="E17" s="70"/>
      <c r="F17" s="75" t="str">
        <f>IF(F10=0,"",F11/F10)</f>
        <v/>
      </c>
      <c r="G17" s="70"/>
      <c r="H17" s="34"/>
      <c r="I17" s="56"/>
      <c r="J17" s="101" t="s">
        <v>5014</v>
      </c>
    </row>
    <row r="18" spans="1:10" ht="17">
      <c r="A18" s="30"/>
      <c r="B18" s="31"/>
      <c r="C18" s="72" t="s">
        <v>5015</v>
      </c>
      <c r="D18" s="75" t="str">
        <f>IF(D$10=0,"",D13/D$10)</f>
        <v/>
      </c>
      <c r="E18" s="70"/>
      <c r="F18" s="75" t="str">
        <f>IF(F$10=0,"",F13/F$10)</f>
        <v/>
      </c>
      <c r="G18" s="70"/>
      <c r="H18" s="34"/>
      <c r="I18" s="56"/>
      <c r="J18" s="101" t="s">
        <v>5016</v>
      </c>
    </row>
    <row r="19" spans="1:10" ht="17">
      <c r="A19" s="30"/>
      <c r="B19" s="31"/>
      <c r="C19" s="72" t="s">
        <v>5017</v>
      </c>
      <c r="D19" s="75">
        <f>IF(D$82=0,"",D14/D$82)</f>
        <v>-9.3799999999999994E-2</v>
      </c>
      <c r="E19" s="70"/>
      <c r="F19" s="75">
        <f>IF(F$82=0,"",F14/F$82)</f>
        <v>-0.1457</v>
      </c>
      <c r="G19" s="70"/>
      <c r="H19" s="34"/>
      <c r="I19" s="56"/>
      <c r="J19" s="101" t="s">
        <v>5018</v>
      </c>
    </row>
    <row r="20" spans="1:10" ht="17">
      <c r="A20" s="30"/>
      <c r="B20" s="31"/>
      <c r="C20" s="72" t="s">
        <v>5019</v>
      </c>
      <c r="D20" s="75">
        <f>IF(D87=0,"",D14/D87)</f>
        <v>1</v>
      </c>
      <c r="E20" s="70"/>
      <c r="F20" s="75">
        <f>IF(F87=0,"",F14/F87)</f>
        <v>0.5756</v>
      </c>
      <c r="G20" s="70"/>
      <c r="H20" s="34"/>
      <c r="I20" s="56"/>
      <c r="J20" s="101" t="s">
        <v>5020</v>
      </c>
    </row>
    <row r="21" spans="1:10" ht="17">
      <c r="A21" s="30"/>
      <c r="B21" s="31">
        <v>3</v>
      </c>
      <c r="C21" s="69" t="s">
        <v>5021</v>
      </c>
      <c r="D21" s="70"/>
      <c r="E21" s="70"/>
      <c r="F21" s="70"/>
      <c r="G21" s="70"/>
      <c r="H21" s="34"/>
      <c r="I21" s="56"/>
      <c r="J21" s="96"/>
    </row>
    <row r="22" spans="1:10" ht="17">
      <c r="A22" s="30"/>
      <c r="B22" s="31"/>
      <c r="C22" s="72" t="s">
        <v>5022</v>
      </c>
      <c r="D22" s="70" t="str">
        <f>IF(D74=0,"",D$10/D74)</f>
        <v/>
      </c>
      <c r="E22" s="70"/>
      <c r="F22" s="70" t="str">
        <f>IF(F74=0,"",F$10/F74)</f>
        <v/>
      </c>
      <c r="G22" s="70"/>
      <c r="H22" s="34"/>
      <c r="I22" s="56"/>
      <c r="J22" s="101" t="s">
        <v>5023</v>
      </c>
    </row>
    <row r="23" spans="1:10" ht="17">
      <c r="A23" s="30"/>
      <c r="B23" s="31"/>
      <c r="C23" s="72" t="s">
        <v>5024</v>
      </c>
      <c r="D23" s="70" t="str">
        <f>IF(D79=0,"",D106/D79)</f>
        <v/>
      </c>
      <c r="E23" s="70"/>
      <c r="F23" s="70" t="str">
        <f>IF(F79=0,"",F106/F79)</f>
        <v/>
      </c>
      <c r="G23" s="70"/>
      <c r="H23" s="34"/>
      <c r="I23" s="56"/>
      <c r="J23" s="101" t="s">
        <v>5025</v>
      </c>
    </row>
    <row r="24" spans="1:10" ht="17">
      <c r="A24" s="30"/>
      <c r="B24" s="31"/>
      <c r="C24" s="72" t="s">
        <v>5026</v>
      </c>
      <c r="D24" s="70">
        <f>IF(D83=0,"",D$10/D83)</f>
        <v>0</v>
      </c>
      <c r="E24" s="70"/>
      <c r="F24" s="70">
        <f>IF(F83=0,"",F$10/F83)</f>
        <v>0</v>
      </c>
      <c r="G24" s="70"/>
      <c r="H24" s="34"/>
      <c r="I24" s="56"/>
      <c r="J24" s="101" t="s">
        <v>5027</v>
      </c>
    </row>
    <row r="25" spans="1:10" ht="17">
      <c r="A25" s="30"/>
      <c r="B25" s="31"/>
      <c r="C25" s="72" t="s">
        <v>5028</v>
      </c>
      <c r="D25" s="70">
        <f>IF(D85=0,"",D$10/D85)</f>
        <v>0</v>
      </c>
      <c r="E25" s="70"/>
      <c r="F25" s="70">
        <f>IF(F85=0,"",F$10/F85)</f>
        <v>0</v>
      </c>
      <c r="G25" s="70"/>
      <c r="H25" s="34"/>
      <c r="I25" s="56"/>
      <c r="J25" s="101" t="s">
        <v>5029</v>
      </c>
    </row>
    <row r="26" spans="1:10" ht="17">
      <c r="A26" s="30"/>
      <c r="B26" s="31">
        <v>4</v>
      </c>
      <c r="C26" s="69" t="s">
        <v>5030</v>
      </c>
      <c r="D26" s="70"/>
      <c r="E26" s="70"/>
      <c r="F26" s="70"/>
      <c r="G26" s="70"/>
      <c r="H26" s="34"/>
      <c r="I26" s="56"/>
      <c r="J26" s="96"/>
    </row>
    <row r="27" spans="1:10" ht="17">
      <c r="A27" s="30"/>
      <c r="B27" s="31"/>
      <c r="C27" s="72" t="s">
        <v>5031</v>
      </c>
      <c r="D27" s="70">
        <f>IF(D$84=0,"",D80/D$84)</f>
        <v>0.91</v>
      </c>
      <c r="E27" s="70"/>
      <c r="F27" s="70">
        <f>IF(F$84=0,"",F80/F$84)</f>
        <v>0.8</v>
      </c>
      <c r="G27" s="70"/>
      <c r="H27" s="34"/>
      <c r="I27" s="56"/>
      <c r="J27" s="101" t="s">
        <v>5032</v>
      </c>
    </row>
    <row r="28" spans="1:10" ht="17">
      <c r="A28" s="30"/>
      <c r="B28" s="31"/>
      <c r="C28" s="72" t="s">
        <v>5033</v>
      </c>
      <c r="D28" s="70">
        <f>IF(D$84=0,"",D81/D$84)</f>
        <v>0.91</v>
      </c>
      <c r="E28" s="70"/>
      <c r="F28" s="70">
        <f>IF(F$84=0,"",F81/F$84)</f>
        <v>0.8</v>
      </c>
      <c r="G28" s="70"/>
      <c r="H28" s="34"/>
      <c r="I28" s="56"/>
      <c r="J28" s="101" t="s">
        <v>5034</v>
      </c>
    </row>
    <row r="29" spans="1:10" ht="17">
      <c r="A29" s="30"/>
      <c r="B29" s="31"/>
      <c r="C29" s="72" t="s">
        <v>5035</v>
      </c>
      <c r="D29" s="70">
        <f>IF(D$84=0,"",D109/D$84)</f>
        <v>0.89</v>
      </c>
      <c r="E29" s="70"/>
      <c r="F29" s="70">
        <f>IF(F$84=0,"",F109/F$84)</f>
        <v>0.77</v>
      </c>
      <c r="G29" s="70"/>
      <c r="H29" s="34"/>
      <c r="I29" s="56"/>
      <c r="J29" s="101" t="s">
        <v>5036</v>
      </c>
    </row>
    <row r="30" spans="1:10" ht="17">
      <c r="A30" s="30"/>
      <c r="B30" s="31">
        <v>5</v>
      </c>
      <c r="C30" s="69" t="s">
        <v>5037</v>
      </c>
      <c r="D30" s="70"/>
      <c r="E30" s="70"/>
      <c r="F30" s="70"/>
      <c r="G30" s="70"/>
      <c r="H30" s="34"/>
      <c r="I30" s="56"/>
      <c r="J30" s="96"/>
    </row>
    <row r="31" spans="1:10" ht="17">
      <c r="A31" s="30"/>
      <c r="B31" s="31"/>
      <c r="C31" s="72" t="s">
        <v>5038</v>
      </c>
      <c r="D31" s="75">
        <f>IF(D82=0,"",D86/D82)</f>
        <v>1.0938000000000001</v>
      </c>
      <c r="E31" s="75"/>
      <c r="F31" s="75">
        <f>IF(F82=0,"",F86/F82)</f>
        <v>1.2531000000000001</v>
      </c>
      <c r="G31" s="75"/>
      <c r="H31" s="34"/>
      <c r="I31" s="56"/>
      <c r="J31" s="96"/>
    </row>
    <row r="32" spans="1:10" ht="17">
      <c r="A32" s="30"/>
      <c r="B32" s="31">
        <v>6</v>
      </c>
      <c r="C32" s="69" t="s">
        <v>5082</v>
      </c>
      <c r="D32" s="70"/>
      <c r="E32" s="70"/>
      <c r="F32" s="70"/>
      <c r="G32" s="70"/>
      <c r="H32" s="34"/>
      <c r="I32" s="56"/>
      <c r="J32" s="96"/>
    </row>
    <row r="33" spans="1:10" ht="17">
      <c r="A33" s="30"/>
      <c r="B33" s="31"/>
      <c r="C33" s="72" t="s">
        <v>5083</v>
      </c>
      <c r="D33" s="70" t="str">
        <f>IF(D69=0,"",D10/D69)</f>
        <v/>
      </c>
      <c r="E33" s="70"/>
      <c r="F33" s="70" t="str">
        <f>IF(F69=0,"",F10/F69)</f>
        <v/>
      </c>
      <c r="G33" s="70"/>
      <c r="H33" s="34"/>
      <c r="I33" s="56"/>
      <c r="J33" s="101" t="s">
        <v>5084</v>
      </c>
    </row>
    <row r="34" spans="1:10" ht="26">
      <c r="A34" s="30"/>
      <c r="B34" s="31"/>
      <c r="C34" s="72" t="s">
        <v>5085</v>
      </c>
      <c r="D34" s="75" t="str">
        <f>IF(D$10=0,"",(D107+D108)/D$10)</f>
        <v/>
      </c>
      <c r="E34" s="70"/>
      <c r="F34" s="75" t="str">
        <f>IF(F$10=0,"",(F107+F108)/F$10)</f>
        <v/>
      </c>
      <c r="G34" s="70"/>
      <c r="H34" s="34"/>
      <c r="I34" s="56"/>
      <c r="J34" s="101" t="s">
        <v>5086</v>
      </c>
    </row>
    <row r="35" spans="1:10" ht="17">
      <c r="A35" s="30"/>
      <c r="B35" s="31">
        <v>7</v>
      </c>
      <c r="C35" s="69" t="s">
        <v>5039</v>
      </c>
      <c r="D35" s="70"/>
      <c r="E35" s="70"/>
      <c r="F35" s="70"/>
      <c r="G35" s="70"/>
      <c r="H35" s="34"/>
      <c r="I35" s="56"/>
      <c r="J35" s="96"/>
    </row>
    <row r="36" spans="1:10" ht="17">
      <c r="A36" s="30"/>
      <c r="B36" s="31"/>
      <c r="C36" s="72" t="s">
        <v>5040</v>
      </c>
      <c r="D36" s="75" t="str">
        <f>IF(H10=0,"",(D10-H10)/H10)</f>
        <v/>
      </c>
      <c r="E36" s="75"/>
      <c r="F36" s="75" t="str">
        <f>IF(D10=0,"",(F10-D10)/D10)</f>
        <v/>
      </c>
      <c r="G36" s="75"/>
      <c r="H36" s="34"/>
      <c r="I36" s="56"/>
      <c r="J36" s="101" t="s">
        <v>5041</v>
      </c>
    </row>
    <row r="37" spans="1:10" ht="17">
      <c r="A37" s="30"/>
      <c r="B37" s="31"/>
      <c r="C37" s="72" t="s">
        <v>5042</v>
      </c>
      <c r="D37" s="75" t="str">
        <f>IF(H13=0,"",(D13-H13)/H13)</f>
        <v/>
      </c>
      <c r="E37" s="75"/>
      <c r="F37" s="75">
        <f>IF(D13=0,"",(F13-D13)/D13)</f>
        <v>0.35620000000000002</v>
      </c>
      <c r="G37" s="75"/>
      <c r="H37" s="34"/>
      <c r="I37" s="56"/>
      <c r="J37" s="101" t="s">
        <v>5043</v>
      </c>
    </row>
    <row r="38" spans="1:10" ht="17">
      <c r="A38" s="30"/>
      <c r="B38" s="31"/>
      <c r="C38" s="72" t="s">
        <v>5044</v>
      </c>
      <c r="D38" s="75" t="str">
        <f>IF(H14=0,"",(D14-H14)/H14)</f>
        <v/>
      </c>
      <c r="E38" s="75"/>
      <c r="F38" s="75">
        <f>IF(D14=0,"",(F14-D14)/D14)</f>
        <v>0.35620000000000002</v>
      </c>
      <c r="G38" s="75"/>
      <c r="H38" s="34"/>
      <c r="I38" s="56"/>
      <c r="J38" s="101" t="s">
        <v>5045</v>
      </c>
    </row>
    <row r="39" spans="1:10" ht="17">
      <c r="A39" s="30"/>
      <c r="B39" s="31"/>
      <c r="C39" s="72" t="s">
        <v>5046</v>
      </c>
      <c r="D39" s="75" t="str">
        <f>IF(H87=0,"",(D87-H87)/H87)</f>
        <v/>
      </c>
      <c r="E39" s="75"/>
      <c r="F39" s="75">
        <f>IF(D87=0,"",(F87-D87)/D87)</f>
        <v>1.3562000000000001</v>
      </c>
      <c r="G39" s="75"/>
      <c r="H39" s="34"/>
      <c r="I39" s="56"/>
      <c r="J39" s="101" t="s">
        <v>5047</v>
      </c>
    </row>
    <row r="40" spans="1:10" ht="17">
      <c r="A40" s="30"/>
      <c r="B40" s="31"/>
      <c r="C40" s="72" t="s">
        <v>5048</v>
      </c>
      <c r="D40" s="75" t="str">
        <f>IF(H82=0,"",(D82-H82)/H82)</f>
        <v/>
      </c>
      <c r="E40" s="75"/>
      <c r="F40" s="75">
        <f>IF(D82=0,"",(F82-D82)/D82)</f>
        <v>-0.12709999999999999</v>
      </c>
      <c r="G40" s="75"/>
      <c r="H40" s="34"/>
      <c r="I40" s="56"/>
      <c r="J40" s="101" t="s">
        <v>5049</v>
      </c>
    </row>
    <row r="41" spans="1:10" ht="17">
      <c r="A41" s="30"/>
      <c r="B41" s="31">
        <v>8</v>
      </c>
      <c r="C41" s="69" t="s">
        <v>5087</v>
      </c>
      <c r="D41" s="70"/>
      <c r="E41" s="70"/>
      <c r="F41" s="70"/>
      <c r="G41" s="70"/>
      <c r="H41" s="34"/>
      <c r="I41" s="56"/>
      <c r="J41" s="96"/>
    </row>
    <row r="42" spans="1:10" ht="17">
      <c r="A42" s="30"/>
      <c r="B42" s="31">
        <v>7348</v>
      </c>
      <c r="C42" s="72" t="s">
        <v>5088</v>
      </c>
      <c r="D42" s="70">
        <f>VLOOKUP($B42,Sheet_Trialbal,10,0)</f>
        <v>17805.68</v>
      </c>
      <c r="E42" s="70"/>
      <c r="F42" s="70">
        <f>VLOOKUP($B42,Sheet_Trialbal,6,0)</f>
        <v>-2324.91</v>
      </c>
      <c r="G42" s="70"/>
      <c r="H42" s="34"/>
      <c r="I42" s="56"/>
      <c r="J42" s="96"/>
    </row>
    <row r="43" spans="1:10" ht="17">
      <c r="A43" s="30"/>
      <c r="B43" s="31">
        <v>7099</v>
      </c>
      <c r="C43" s="72" t="s">
        <v>5089</v>
      </c>
      <c r="D43" s="70">
        <f>VLOOKUP($B43,Sheet_Trialbal,10,0)</f>
        <v>17805.68</v>
      </c>
      <c r="E43" s="70"/>
      <c r="F43" s="70">
        <f>VLOOKUP($B43,Sheet_Trialbal,6,0)</f>
        <v>-2324.91</v>
      </c>
      <c r="G43" s="70"/>
      <c r="H43" s="34"/>
      <c r="I43" s="56"/>
      <c r="J43" s="96"/>
    </row>
    <row r="44" spans="1:10" ht="17">
      <c r="A44" s="30"/>
      <c r="B44" s="31">
        <v>7001</v>
      </c>
      <c r="C44" s="72" t="s">
        <v>5090</v>
      </c>
      <c r="D44" s="70">
        <f>VLOOKUP($B44,Sheet_Trialbal,10,0)</f>
        <v>0</v>
      </c>
      <c r="E44" s="70"/>
      <c r="F44" s="70">
        <f>VLOOKUP($B44,Sheet_Trialbal,6,0)</f>
        <v>0</v>
      </c>
      <c r="G44" s="70"/>
      <c r="H44" s="34"/>
      <c r="I44" s="56"/>
      <c r="J44" s="96"/>
    </row>
    <row r="45" spans="1:10" ht="26">
      <c r="A45" s="30"/>
      <c r="B45" s="31"/>
      <c r="C45" s="72" t="s">
        <v>5091</v>
      </c>
      <c r="D45" s="75" t="str">
        <f>IF(D$10=0,"",D44/D$10)</f>
        <v/>
      </c>
      <c r="E45" s="70"/>
      <c r="F45" s="75" t="str">
        <f>IF(F$10=0,"",F44/F$10)</f>
        <v/>
      </c>
      <c r="G45" s="70"/>
      <c r="H45" s="34"/>
      <c r="I45" s="56"/>
      <c r="J45" s="96"/>
    </row>
    <row r="46" spans="1:10" ht="17">
      <c r="A46" s="30"/>
      <c r="B46" s="31">
        <v>9</v>
      </c>
      <c r="C46" s="69" t="s">
        <v>5050</v>
      </c>
      <c r="D46" s="70"/>
      <c r="E46" s="70"/>
      <c r="F46" s="70"/>
      <c r="G46" s="70"/>
      <c r="H46" s="34"/>
      <c r="I46" s="56"/>
      <c r="J46" s="96"/>
    </row>
    <row r="47" spans="1:10" ht="17">
      <c r="A47" s="30"/>
      <c r="B47" s="31"/>
      <c r="C47" s="72" t="s">
        <v>891</v>
      </c>
      <c r="D47" s="70" t="str">
        <f>IF(D$70=0,"",D14/D$70)</f>
        <v/>
      </c>
      <c r="E47" s="70"/>
      <c r="F47" s="70" t="str">
        <f>IF(F$70=0,"",F14/F$70)</f>
        <v/>
      </c>
      <c r="G47" s="70"/>
      <c r="H47" s="34"/>
      <c r="I47" s="56"/>
      <c r="J47" s="101" t="s">
        <v>5051</v>
      </c>
    </row>
    <row r="48" spans="1:10" ht="17">
      <c r="A48" s="30"/>
      <c r="B48" s="31"/>
      <c r="C48" s="72" t="s">
        <v>5052</v>
      </c>
      <c r="D48" s="70" t="str">
        <f>IF(D$70=0,"",D87/D$70)</f>
        <v/>
      </c>
      <c r="E48" s="70"/>
      <c r="F48" s="70" t="str">
        <f>IF(F$70=0,"",F87/F$70)</f>
        <v/>
      </c>
      <c r="G48" s="70"/>
      <c r="H48" s="34"/>
      <c r="I48" s="56"/>
      <c r="J48" s="101" t="s">
        <v>5053</v>
      </c>
    </row>
    <row r="49" spans="1:10" ht="17">
      <c r="A49" s="30"/>
      <c r="B49" s="36"/>
      <c r="C49" s="76" t="s">
        <v>5054</v>
      </c>
      <c r="D49" s="70" t="str">
        <f>IF(D$70=0,"",D42/D$70)</f>
        <v/>
      </c>
      <c r="E49" s="70"/>
      <c r="F49" s="70" t="str">
        <f>IF(F$70=0,"",F42/F$70)</f>
        <v/>
      </c>
      <c r="G49" s="70"/>
      <c r="H49" s="39"/>
      <c r="I49" s="57"/>
      <c r="J49" s="101" t="s">
        <v>5055</v>
      </c>
    </row>
    <row r="50" spans="1:10" ht="17">
      <c r="A50" s="30"/>
      <c r="B50" s="77"/>
      <c r="C50" s="78" t="s">
        <v>5092</v>
      </c>
      <c r="D50" s="79"/>
      <c r="E50" s="79"/>
      <c r="F50" s="79"/>
      <c r="G50" s="79"/>
      <c r="H50" s="80"/>
      <c r="I50" s="102"/>
      <c r="J50" s="96"/>
    </row>
    <row r="51" spans="1:10" ht="17">
      <c r="A51" s="30"/>
      <c r="B51" s="81"/>
      <c r="C51" s="82" t="s">
        <v>5093</v>
      </c>
      <c r="D51" s="83"/>
      <c r="E51" s="83"/>
      <c r="F51" s="83"/>
      <c r="G51" s="83"/>
      <c r="H51" s="84"/>
      <c r="I51" s="56"/>
      <c r="J51" s="96"/>
    </row>
    <row r="52" spans="1:10" ht="17">
      <c r="A52" s="30"/>
      <c r="B52" s="81"/>
      <c r="C52" s="82" t="s">
        <v>5094</v>
      </c>
      <c r="D52" s="83"/>
      <c r="E52" s="83"/>
      <c r="F52" s="83"/>
      <c r="G52" s="83"/>
      <c r="H52" s="84"/>
      <c r="I52" s="56"/>
      <c r="J52" s="96"/>
    </row>
    <row r="53" spans="1:10" ht="17">
      <c r="A53" s="30"/>
      <c r="B53" s="81"/>
      <c r="C53" s="82" t="s">
        <v>5095</v>
      </c>
      <c r="D53" s="83"/>
      <c r="E53" s="83"/>
      <c r="F53" s="83"/>
      <c r="G53" s="83"/>
      <c r="H53" s="84"/>
      <c r="I53" s="56"/>
      <c r="J53" s="96"/>
    </row>
    <row r="54" spans="1:10" ht="17">
      <c r="A54" s="30"/>
      <c r="B54" s="81"/>
      <c r="C54" s="82" t="s">
        <v>5096</v>
      </c>
      <c r="D54" s="83"/>
      <c r="E54" s="83"/>
      <c r="F54" s="83"/>
      <c r="G54" s="83"/>
      <c r="H54" s="84"/>
      <c r="I54" s="56"/>
      <c r="J54" s="96"/>
    </row>
    <row r="55" spans="1:10" ht="17">
      <c r="A55" s="30"/>
      <c r="B55" s="81"/>
      <c r="C55" s="82" t="s">
        <v>5097</v>
      </c>
      <c r="D55" s="83"/>
      <c r="E55" s="83"/>
      <c r="F55" s="83"/>
      <c r="G55" s="83"/>
      <c r="H55" s="84"/>
      <c r="I55" s="56"/>
      <c r="J55" s="96"/>
    </row>
    <row r="56" spans="1:10" ht="17">
      <c r="A56" s="30"/>
      <c r="B56" s="85"/>
      <c r="C56" s="49" t="s">
        <v>5098</v>
      </c>
      <c r="D56" s="86"/>
      <c r="E56" s="86"/>
      <c r="F56" s="86"/>
      <c r="G56" s="86"/>
      <c r="H56" s="87"/>
      <c r="I56" s="57"/>
      <c r="J56" s="96"/>
    </row>
    <row r="57" spans="1:10" ht="17">
      <c r="A57" s="30"/>
      <c r="B57" s="77"/>
      <c r="C57" s="88" t="s">
        <v>5099</v>
      </c>
      <c r="D57" s="79"/>
      <c r="E57" s="79"/>
      <c r="F57" s="79"/>
      <c r="G57" s="79"/>
      <c r="H57" s="80"/>
      <c r="I57" s="102"/>
      <c r="J57" s="96"/>
    </row>
    <row r="58" spans="1:10" ht="17">
      <c r="A58" s="30"/>
      <c r="B58" s="81"/>
      <c r="C58" s="89" t="s">
        <v>5100</v>
      </c>
      <c r="D58" s="83"/>
      <c r="E58" s="83"/>
      <c r="F58" s="83"/>
      <c r="G58" s="83"/>
      <c r="H58" s="84"/>
      <c r="I58" s="56"/>
      <c r="J58" s="96"/>
    </row>
    <row r="59" spans="1:10" ht="17">
      <c r="A59" s="30"/>
      <c r="B59" s="81"/>
      <c r="C59" s="90" t="s">
        <v>5006</v>
      </c>
      <c r="D59" s="91" t="s">
        <v>5007</v>
      </c>
      <c r="E59" s="92" t="s">
        <v>5101</v>
      </c>
      <c r="F59" s="93" t="s">
        <v>5080</v>
      </c>
      <c r="G59" s="83"/>
      <c r="H59" s="84"/>
      <c r="I59" s="56"/>
      <c r="J59" s="96"/>
    </row>
    <row r="60" spans="1:10" ht="17">
      <c r="A60" s="30"/>
      <c r="B60" s="81"/>
      <c r="C60" s="94"/>
      <c r="D60" s="33"/>
      <c r="E60" s="33"/>
      <c r="F60" s="95"/>
      <c r="G60" s="83"/>
      <c r="H60" s="84"/>
      <c r="I60" s="56"/>
      <c r="J60" s="96"/>
    </row>
    <row r="61" spans="1:10" ht="17">
      <c r="A61" s="30"/>
      <c r="B61" s="81"/>
      <c r="C61" s="94"/>
      <c r="D61" s="33"/>
      <c r="E61" s="33"/>
      <c r="F61" s="95"/>
      <c r="G61" s="83"/>
      <c r="H61" s="84"/>
      <c r="I61" s="56"/>
      <c r="J61" s="96"/>
    </row>
    <row r="62" spans="1:10" ht="17">
      <c r="A62" s="30"/>
      <c r="B62" s="81"/>
      <c r="C62" s="94"/>
      <c r="D62" s="33"/>
      <c r="E62" s="33"/>
      <c r="F62" s="95"/>
      <c r="G62" s="83"/>
      <c r="H62" s="84"/>
      <c r="I62" s="56"/>
      <c r="J62" s="96"/>
    </row>
    <row r="63" spans="1:10" ht="17">
      <c r="A63" s="30"/>
      <c r="B63" s="81"/>
      <c r="C63" s="78" t="s">
        <v>5092</v>
      </c>
      <c r="D63" s="83"/>
      <c r="E63" s="83"/>
      <c r="F63" s="83"/>
      <c r="G63" s="83"/>
      <c r="H63" s="84"/>
      <c r="I63" s="56"/>
      <c r="J63" s="96"/>
    </row>
    <row r="64" spans="1:10" ht="17">
      <c r="A64" s="30"/>
      <c r="B64" s="81"/>
      <c r="C64" s="82"/>
      <c r="D64" s="83"/>
      <c r="E64" s="83"/>
      <c r="F64" s="83"/>
      <c r="G64" s="83"/>
      <c r="H64" s="84"/>
      <c r="I64" s="56"/>
      <c r="J64" s="96"/>
    </row>
    <row r="65" spans="1:10" ht="17">
      <c r="A65" s="30"/>
      <c r="B65" s="85"/>
      <c r="C65" s="49"/>
      <c r="D65" s="86"/>
      <c r="E65" s="86"/>
      <c r="F65" s="86"/>
      <c r="G65" s="86"/>
      <c r="H65" s="87"/>
      <c r="I65" s="57"/>
      <c r="J65" s="96"/>
    </row>
    <row r="66" spans="1:10" ht="17">
      <c r="A66" s="30"/>
      <c r="B66" s="103"/>
      <c r="C66" s="103"/>
      <c r="D66" s="103"/>
      <c r="E66" s="103"/>
      <c r="F66" s="103"/>
      <c r="G66" s="103"/>
      <c r="H66" s="103"/>
      <c r="I66" s="103"/>
      <c r="J66" s="96"/>
    </row>
    <row r="67" spans="1:10" ht="17">
      <c r="A67" s="30"/>
      <c r="J67" s="96"/>
    </row>
    <row r="68" spans="1:10" ht="26">
      <c r="A68" s="30"/>
      <c r="B68" s="104" t="s">
        <v>2874</v>
      </c>
      <c r="C68" s="105"/>
      <c r="D68" s="106" t="s">
        <v>5056</v>
      </c>
      <c r="E68" s="107" t="s">
        <v>5057</v>
      </c>
      <c r="F68" s="106" t="s">
        <v>5080</v>
      </c>
      <c r="G68" s="106" t="s">
        <v>5010</v>
      </c>
      <c r="H68" s="3312" t="s">
        <v>5059</v>
      </c>
      <c r="I68" s="3313"/>
      <c r="J68" s="97" t="s">
        <v>5060</v>
      </c>
    </row>
    <row r="69" spans="1:10" ht="17">
      <c r="A69" s="30"/>
      <c r="B69" s="108"/>
      <c r="C69" s="109" t="s">
        <v>5061</v>
      </c>
      <c r="D69" s="110"/>
      <c r="E69" s="111"/>
      <c r="F69" s="110"/>
      <c r="G69" s="110"/>
      <c r="H69" s="3314"/>
      <c r="I69" s="3315"/>
      <c r="J69" s="96"/>
    </row>
    <row r="70" spans="1:10" ht="17">
      <c r="A70" s="30"/>
      <c r="B70" s="112"/>
      <c r="C70" s="113" t="s">
        <v>5062</v>
      </c>
      <c r="D70" s="114"/>
      <c r="E70" s="115"/>
      <c r="F70" s="114"/>
      <c r="G70" s="114"/>
      <c r="H70" s="3316"/>
      <c r="I70" s="3317"/>
      <c r="J70" s="96"/>
    </row>
    <row r="71" spans="1:10" ht="17">
      <c r="A71" s="30"/>
      <c r="B71" s="116">
        <v>1122</v>
      </c>
      <c r="C71" s="113" t="s">
        <v>124</v>
      </c>
      <c r="D71" s="117">
        <f>VLOOKUP($B71,Sheet_Trialbal,10,0)</f>
        <v>0</v>
      </c>
      <c r="E71" s="117"/>
      <c r="F71" s="117">
        <f>VLOOKUP($B71,Sheet_Trialbal,6,0)</f>
        <v>0</v>
      </c>
      <c r="G71" s="117"/>
      <c r="H71" s="3318"/>
      <c r="I71" s="3319"/>
      <c r="J71" s="101" t="s">
        <v>5063</v>
      </c>
    </row>
    <row r="72" spans="1:10" ht="17">
      <c r="A72" s="30"/>
      <c r="B72" s="116">
        <v>1122.1231</v>
      </c>
      <c r="C72" s="113" t="s">
        <v>5064</v>
      </c>
      <c r="D72" s="114">
        <f>VLOOKUP($B72,Sheet_Trialbal,10,0)</f>
        <v>0</v>
      </c>
      <c r="E72" s="114"/>
      <c r="F72" s="114">
        <f>VLOOKUP($B72,Sheet_Trialbal,6,0)</f>
        <v>0</v>
      </c>
      <c r="G72" s="114"/>
      <c r="H72" s="3318"/>
      <c r="I72" s="3319"/>
      <c r="J72" s="101" t="s">
        <v>5063</v>
      </c>
    </row>
    <row r="73" spans="1:10" ht="17">
      <c r="A73" s="30"/>
      <c r="B73" s="116"/>
      <c r="C73" s="113" t="s">
        <v>5065</v>
      </c>
      <c r="D73" s="118">
        <f>D71+D72</f>
        <v>0</v>
      </c>
      <c r="E73" s="118"/>
      <c r="F73" s="118">
        <f>F71+F72</f>
        <v>0</v>
      </c>
      <c r="G73" s="118"/>
      <c r="H73" s="3320">
        <f>H71+H72</f>
        <v>0</v>
      </c>
      <c r="I73" s="3321">
        <f>I71+I72</f>
        <v>0</v>
      </c>
      <c r="J73" s="96"/>
    </row>
    <row r="74" spans="1:10" ht="17">
      <c r="A74" s="30"/>
      <c r="B74" s="116"/>
      <c r="C74" s="120" t="s">
        <v>5066</v>
      </c>
      <c r="D74" s="118">
        <f>(D73+H73)/2</f>
        <v>0</v>
      </c>
      <c r="E74" s="118"/>
      <c r="F74" s="118">
        <f>(D73+F73)/2</f>
        <v>0</v>
      </c>
      <c r="G74" s="118"/>
      <c r="H74" s="3320"/>
      <c r="I74" s="3321"/>
      <c r="J74" s="96"/>
    </row>
    <row r="75" spans="1:10" ht="17">
      <c r="A75" s="30"/>
      <c r="B75" s="116">
        <v>1125</v>
      </c>
      <c r="C75" s="113" t="s">
        <v>162</v>
      </c>
      <c r="D75" s="117">
        <f>VLOOKUP($B75,Sheet_Trialbal,10,0)</f>
        <v>0</v>
      </c>
      <c r="E75" s="117"/>
      <c r="F75" s="117">
        <f>VLOOKUP($B75,Sheet_Trialbal,6,0)</f>
        <v>0</v>
      </c>
      <c r="G75" s="117"/>
      <c r="H75" s="3320"/>
      <c r="I75" s="3321"/>
      <c r="J75" s="96"/>
    </row>
    <row r="76" spans="1:10" ht="17">
      <c r="A76" s="30"/>
      <c r="B76" s="116">
        <v>1400</v>
      </c>
      <c r="C76" s="113" t="s">
        <v>229</v>
      </c>
      <c r="D76" s="117">
        <f>VLOOKUP($B76,Sheet_Trialbal,10,0)</f>
        <v>0</v>
      </c>
      <c r="E76" s="117"/>
      <c r="F76" s="117">
        <f>VLOOKUP($B76,Sheet_Trialbal,6,0)</f>
        <v>0</v>
      </c>
      <c r="G76" s="117"/>
      <c r="H76" s="3318"/>
      <c r="I76" s="3319"/>
      <c r="J76" s="101" t="s">
        <v>5063</v>
      </c>
    </row>
    <row r="77" spans="1:10" ht="17">
      <c r="A77" s="30"/>
      <c r="B77" s="116">
        <v>1400.1470999999999</v>
      </c>
      <c r="C77" s="113" t="s">
        <v>5067</v>
      </c>
      <c r="D77" s="114">
        <f>VLOOKUP($B77,Sheet_Trialbal,10,0)</f>
        <v>0</v>
      </c>
      <c r="E77" s="114"/>
      <c r="F77" s="114">
        <f>VLOOKUP($B77,Sheet_Trialbal,6,0)</f>
        <v>0</v>
      </c>
      <c r="G77" s="114"/>
      <c r="H77" s="3318"/>
      <c r="I77" s="3319"/>
      <c r="J77" s="101" t="s">
        <v>5063</v>
      </c>
    </row>
    <row r="78" spans="1:10" ht="17">
      <c r="A78" s="30"/>
      <c r="B78" s="116"/>
      <c r="C78" s="113" t="s">
        <v>5068</v>
      </c>
      <c r="D78" s="118">
        <f>D76+D77</f>
        <v>0</v>
      </c>
      <c r="E78" s="118"/>
      <c r="F78" s="118">
        <f>F76+F77</f>
        <v>0</v>
      </c>
      <c r="G78" s="118"/>
      <c r="H78" s="3320">
        <f>H76+H77</f>
        <v>0</v>
      </c>
      <c r="I78" s="3321">
        <f>I76+I77</f>
        <v>0</v>
      </c>
      <c r="J78" s="96"/>
    </row>
    <row r="79" spans="1:10" ht="17">
      <c r="A79" s="30"/>
      <c r="B79" s="116"/>
      <c r="C79" s="120" t="s">
        <v>5069</v>
      </c>
      <c r="D79" s="118">
        <f>(D78+H78)/2</f>
        <v>0</v>
      </c>
      <c r="E79" s="118"/>
      <c r="F79" s="118">
        <f>(D78+F78)/2</f>
        <v>0</v>
      </c>
      <c r="G79" s="118"/>
      <c r="H79" s="3320"/>
      <c r="I79" s="3321"/>
      <c r="J79" s="96"/>
    </row>
    <row r="80" spans="1:10" ht="17">
      <c r="A80" s="30"/>
      <c r="B80" s="116">
        <v>1498</v>
      </c>
      <c r="C80" s="113" t="s">
        <v>286</v>
      </c>
      <c r="D80" s="117">
        <f>VLOOKUP($B80,Sheet_Trialbal,10,0)</f>
        <v>18285.68</v>
      </c>
      <c r="E80" s="117"/>
      <c r="F80" s="117">
        <f>VLOOKUP($B80,Sheet_Trialbal,6,0)</f>
        <v>15960.77</v>
      </c>
      <c r="G80" s="117"/>
      <c r="H80" s="3320"/>
      <c r="I80" s="3321"/>
      <c r="J80" s="96"/>
    </row>
    <row r="81" spans="1:10" ht="17">
      <c r="A81" s="30"/>
      <c r="B81" s="116"/>
      <c r="C81" s="120" t="s">
        <v>5070</v>
      </c>
      <c r="D81" s="118">
        <f>D80-D75-D76</f>
        <v>18285.68</v>
      </c>
      <c r="E81" s="118"/>
      <c r="F81" s="118">
        <f>F80-F75-F76</f>
        <v>15960.77</v>
      </c>
      <c r="G81" s="118"/>
      <c r="H81" s="3320"/>
      <c r="I81" s="3321"/>
      <c r="J81" s="96"/>
    </row>
    <row r="82" spans="1:10" ht="17">
      <c r="A82" s="30"/>
      <c r="B82" s="116">
        <v>1999</v>
      </c>
      <c r="C82" s="113" t="s">
        <v>5071</v>
      </c>
      <c r="D82" s="117">
        <f>VLOOKUP($B82,Sheet_Trialbal,10,0)</f>
        <v>18285.68</v>
      </c>
      <c r="E82" s="117"/>
      <c r="F82" s="117">
        <f>VLOOKUP($B82,Sheet_Trialbal,6,0)</f>
        <v>15960.77</v>
      </c>
      <c r="G82" s="117"/>
      <c r="H82" s="3318"/>
      <c r="I82" s="3319"/>
      <c r="J82" s="101" t="s">
        <v>5063</v>
      </c>
    </row>
    <row r="83" spans="1:10" ht="17">
      <c r="A83" s="30"/>
      <c r="B83" s="116"/>
      <c r="C83" s="120" t="s">
        <v>5072</v>
      </c>
      <c r="D83" s="118">
        <f>(D82+H82)/2</f>
        <v>9142.84</v>
      </c>
      <c r="E83" s="118"/>
      <c r="F83" s="118">
        <f>(D82+F82)/2</f>
        <v>17123.23</v>
      </c>
      <c r="G83" s="117"/>
      <c r="H83" s="3320"/>
      <c r="I83" s="3321"/>
      <c r="J83" s="96"/>
    </row>
    <row r="84" spans="1:10" ht="17">
      <c r="A84" s="30"/>
      <c r="B84" s="116">
        <v>2498</v>
      </c>
      <c r="C84" s="113" t="s">
        <v>566</v>
      </c>
      <c r="D84" s="117">
        <f>VLOOKUP($B84,Sheet_Trialbal,10,0)</f>
        <v>20000</v>
      </c>
      <c r="E84" s="117"/>
      <c r="F84" s="117">
        <f>VLOOKUP($B84,Sheet_Trialbal,6,0)</f>
        <v>20000</v>
      </c>
      <c r="G84" s="117"/>
      <c r="H84" s="3320"/>
      <c r="I84" s="3321"/>
      <c r="J84" s="96"/>
    </row>
    <row r="85" spans="1:10" ht="17">
      <c r="A85" s="30"/>
      <c r="B85" s="116"/>
      <c r="C85" s="113" t="s">
        <v>5073</v>
      </c>
      <c r="D85" s="118">
        <f>D80-D84</f>
        <v>-1714.32</v>
      </c>
      <c r="E85" s="118"/>
      <c r="F85" s="118">
        <f>F80-F84</f>
        <v>-4039.23</v>
      </c>
      <c r="G85" s="118"/>
      <c r="H85" s="3320"/>
      <c r="I85" s="3321"/>
      <c r="J85" s="96"/>
    </row>
    <row r="86" spans="1:10" ht="17">
      <c r="A86" s="30"/>
      <c r="B86" s="116">
        <v>2999</v>
      </c>
      <c r="C86" s="113" t="s">
        <v>5074</v>
      </c>
      <c r="D86" s="117">
        <f>VLOOKUP($B86,Sheet_Trialbal,10,0)</f>
        <v>20000</v>
      </c>
      <c r="E86" s="117"/>
      <c r="F86" s="117">
        <f>VLOOKUP($B86,Sheet_Trialbal,6,0)</f>
        <v>20000</v>
      </c>
      <c r="G86" s="117"/>
      <c r="H86" s="3320"/>
      <c r="I86" s="3321"/>
      <c r="J86" s="96"/>
    </row>
    <row r="87" spans="1:10" ht="17">
      <c r="A87" s="30"/>
      <c r="B87" s="116">
        <v>4999</v>
      </c>
      <c r="C87" s="113" t="s">
        <v>5075</v>
      </c>
      <c r="D87" s="117">
        <f>VLOOKUP($B87,Sheet_Trialbal,10,0)</f>
        <v>-1714.32</v>
      </c>
      <c r="E87" s="117"/>
      <c r="F87" s="117">
        <f>VLOOKUP($B87,Sheet_Trialbal,6,0)</f>
        <v>-4039.23</v>
      </c>
      <c r="G87" s="117"/>
      <c r="H87" s="3320"/>
      <c r="I87" s="3321"/>
      <c r="J87" s="101" t="s">
        <v>5063</v>
      </c>
    </row>
    <row r="88" spans="1:10" ht="17">
      <c r="A88" s="30"/>
      <c r="B88" s="116"/>
      <c r="C88" s="113"/>
      <c r="D88" s="117"/>
      <c r="E88" s="117"/>
      <c r="F88" s="117"/>
      <c r="G88" s="117"/>
      <c r="H88" s="3326"/>
      <c r="I88" s="3327"/>
      <c r="J88" s="101"/>
    </row>
    <row r="89" spans="1:10" ht="17">
      <c r="A89" s="30"/>
      <c r="B89" s="116"/>
      <c r="C89" s="113"/>
      <c r="D89" s="117"/>
      <c r="E89" s="117"/>
      <c r="F89" s="117"/>
      <c r="G89" s="117"/>
      <c r="H89" s="3320"/>
      <c r="I89" s="3321"/>
      <c r="J89" s="101"/>
    </row>
    <row r="90" spans="1:10" ht="17">
      <c r="A90" s="30"/>
      <c r="B90" s="116"/>
      <c r="C90" s="113"/>
      <c r="D90" s="117"/>
      <c r="E90" s="117"/>
      <c r="F90" s="117"/>
      <c r="G90" s="117"/>
      <c r="H90" s="3320"/>
      <c r="I90" s="3321"/>
      <c r="J90" s="101"/>
    </row>
    <row r="91" spans="1:10" ht="17">
      <c r="A91" s="30"/>
      <c r="B91" s="116"/>
      <c r="C91" s="113"/>
      <c r="D91" s="117"/>
      <c r="E91" s="117"/>
      <c r="F91" s="117"/>
      <c r="G91" s="117"/>
      <c r="H91" s="3320"/>
      <c r="I91" s="3321"/>
      <c r="J91" s="101"/>
    </row>
    <row r="92" spans="1:10" ht="17">
      <c r="A92" s="30"/>
      <c r="B92" s="116"/>
      <c r="C92" s="113"/>
      <c r="D92" s="117"/>
      <c r="E92" s="117"/>
      <c r="F92" s="117"/>
      <c r="G92" s="117"/>
      <c r="H92" s="3320"/>
      <c r="I92" s="3321"/>
      <c r="J92" s="101"/>
    </row>
    <row r="93" spans="1:10" ht="17">
      <c r="A93" s="30"/>
      <c r="B93" s="116"/>
      <c r="C93" s="113"/>
      <c r="D93" s="117"/>
      <c r="E93" s="117"/>
      <c r="F93" s="117"/>
      <c r="G93" s="117"/>
      <c r="H93" s="3320"/>
      <c r="I93" s="3321"/>
      <c r="J93" s="101"/>
    </row>
    <row r="94" spans="1:10" ht="17">
      <c r="A94" s="30"/>
      <c r="B94" s="116"/>
      <c r="C94" s="113"/>
      <c r="D94" s="117"/>
      <c r="E94" s="117"/>
      <c r="F94" s="117"/>
      <c r="G94" s="117"/>
      <c r="H94" s="3320"/>
      <c r="I94" s="3321"/>
      <c r="J94" s="101"/>
    </row>
    <row r="95" spans="1:10" ht="17">
      <c r="A95" s="30"/>
      <c r="B95" s="116"/>
      <c r="C95" s="113"/>
      <c r="D95" s="117"/>
      <c r="E95" s="117"/>
      <c r="F95" s="117"/>
      <c r="G95" s="117"/>
      <c r="H95" s="3320"/>
      <c r="I95" s="3321"/>
      <c r="J95" s="101"/>
    </row>
    <row r="96" spans="1:10" ht="17">
      <c r="A96" s="30"/>
      <c r="B96" s="116"/>
      <c r="C96" s="113"/>
      <c r="D96" s="117"/>
      <c r="E96" s="117"/>
      <c r="F96" s="117"/>
      <c r="G96" s="117"/>
      <c r="H96" s="119"/>
      <c r="I96" s="124"/>
      <c r="J96" s="101"/>
    </row>
    <row r="97" spans="1:10" ht="17">
      <c r="A97" s="30"/>
      <c r="B97" s="116"/>
      <c r="C97" s="113"/>
      <c r="D97" s="117"/>
      <c r="E97" s="117"/>
      <c r="F97" s="117"/>
      <c r="G97" s="117"/>
      <c r="H97" s="119"/>
      <c r="I97" s="124"/>
      <c r="J97" s="101"/>
    </row>
    <row r="98" spans="1:10" ht="17">
      <c r="A98" s="30"/>
      <c r="B98" s="116"/>
      <c r="C98" s="113"/>
      <c r="D98" s="117"/>
      <c r="E98" s="117"/>
      <c r="F98" s="117"/>
      <c r="G98" s="117"/>
      <c r="H98" s="119"/>
      <c r="I98" s="124"/>
      <c r="J98" s="101"/>
    </row>
    <row r="99" spans="1:10" ht="17">
      <c r="A99" s="30"/>
      <c r="B99" s="116"/>
      <c r="C99" s="113"/>
      <c r="D99" s="117"/>
      <c r="E99" s="117"/>
      <c r="F99" s="117"/>
      <c r="G99" s="117"/>
      <c r="H99" s="119"/>
      <c r="I99" s="124"/>
      <c r="J99" s="101"/>
    </row>
    <row r="100" spans="1:10" ht="17">
      <c r="A100" s="30"/>
      <c r="B100" s="116"/>
      <c r="C100" s="113"/>
      <c r="D100" s="117"/>
      <c r="E100" s="117"/>
      <c r="F100" s="117"/>
      <c r="G100" s="117"/>
      <c r="H100" s="3320"/>
      <c r="I100" s="3321"/>
      <c r="J100" s="101"/>
    </row>
    <row r="101" spans="1:10" ht="17">
      <c r="A101" s="30"/>
      <c r="B101" s="116"/>
      <c r="C101" s="113"/>
      <c r="D101" s="117"/>
      <c r="E101" s="117"/>
      <c r="F101" s="117"/>
      <c r="G101" s="117"/>
      <c r="H101" s="3320"/>
      <c r="I101" s="3321"/>
      <c r="J101" s="101"/>
    </row>
    <row r="102" spans="1:10" ht="17">
      <c r="A102" s="30"/>
      <c r="B102" s="116"/>
      <c r="C102" s="113"/>
      <c r="D102" s="117"/>
      <c r="E102" s="117"/>
      <c r="F102" s="117"/>
      <c r="G102" s="117"/>
      <c r="H102" s="3320"/>
      <c r="I102" s="3321"/>
      <c r="J102" s="101"/>
    </row>
    <row r="103" spans="1:10" ht="17">
      <c r="A103" s="30"/>
      <c r="B103" s="116"/>
      <c r="C103" s="113"/>
      <c r="D103" s="117"/>
      <c r="E103" s="117"/>
      <c r="F103" s="117"/>
      <c r="G103" s="117"/>
      <c r="H103" s="3320"/>
      <c r="I103" s="3321"/>
      <c r="J103" s="101"/>
    </row>
    <row r="104" spans="1:10" ht="17">
      <c r="A104" s="30"/>
      <c r="B104" s="116"/>
      <c r="C104" s="113"/>
      <c r="D104" s="117"/>
      <c r="E104" s="117"/>
      <c r="F104" s="117"/>
      <c r="G104" s="117"/>
      <c r="H104" s="3320"/>
      <c r="I104" s="3321"/>
      <c r="J104" s="101"/>
    </row>
    <row r="105" spans="1:10" ht="17">
      <c r="A105" s="30"/>
      <c r="B105" s="116"/>
      <c r="C105" s="113"/>
      <c r="D105" s="117"/>
      <c r="E105" s="117"/>
      <c r="F105" s="117"/>
      <c r="G105" s="117"/>
      <c r="H105" s="3320"/>
      <c r="I105" s="3321"/>
      <c r="J105" s="101"/>
    </row>
    <row r="106" spans="1:10" ht="17">
      <c r="A106" s="30"/>
      <c r="B106" s="116">
        <v>6401</v>
      </c>
      <c r="C106" s="113" t="s">
        <v>671</v>
      </c>
      <c r="D106" s="117">
        <f>VLOOKUP($B106,Sheet_Trialbal,10,0)</f>
        <v>0</v>
      </c>
      <c r="E106" s="117"/>
      <c r="F106" s="117">
        <f>VLOOKUP($B106,Sheet_Trialbal,6,0)</f>
        <v>0</v>
      </c>
      <c r="G106" s="117"/>
      <c r="H106" s="3320"/>
      <c r="I106" s="3321"/>
      <c r="J106" s="96"/>
    </row>
    <row r="107" spans="1:10" ht="17">
      <c r="A107" s="30"/>
      <c r="B107" s="116">
        <v>6601</v>
      </c>
      <c r="C107" s="113" t="s">
        <v>680</v>
      </c>
      <c r="D107" s="117">
        <f>VLOOKUP($B107,Sheet_Trialbal,10,0)</f>
        <v>0</v>
      </c>
      <c r="E107" s="117"/>
      <c r="F107" s="117">
        <f>VLOOKUP($B107,Sheet_Trialbal,6,0)</f>
        <v>0</v>
      </c>
      <c r="G107" s="117"/>
      <c r="H107" s="3320"/>
      <c r="I107" s="3321"/>
      <c r="J107" s="96"/>
    </row>
    <row r="108" spans="1:10" ht="17">
      <c r="A108" s="30"/>
      <c r="B108" s="116">
        <v>6602</v>
      </c>
      <c r="C108" s="113" t="s">
        <v>685</v>
      </c>
      <c r="D108" s="117">
        <f>VLOOKUP($B108,Sheet_Trialbal,10,0)</f>
        <v>580</v>
      </c>
      <c r="E108" s="117"/>
      <c r="F108" s="117">
        <f>VLOOKUP($B108,Sheet_Trialbal,6,0)</f>
        <v>1000</v>
      </c>
      <c r="G108" s="117"/>
      <c r="H108" s="3320"/>
      <c r="I108" s="3321"/>
      <c r="J108" s="96"/>
    </row>
    <row r="109" spans="1:10" ht="17">
      <c r="A109" s="30"/>
      <c r="B109" s="121">
        <v>7399</v>
      </c>
      <c r="C109" s="122" t="s">
        <v>2272</v>
      </c>
      <c r="D109" s="123">
        <f>VLOOKUP($B109,Sheet_Trialbal,10,0)</f>
        <v>17805.68</v>
      </c>
      <c r="E109" s="123"/>
      <c r="F109" s="123">
        <f>VLOOKUP($B109,Sheet_Trialbal,6,0)</f>
        <v>15480.77</v>
      </c>
      <c r="G109" s="123"/>
      <c r="H109" s="3322"/>
      <c r="I109" s="3323"/>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09765625" defaultRowHeight="13"/>
  <cols>
    <col min="1" max="1" width="4.296875" style="1" customWidth="1"/>
    <col min="2" max="2" width="6.69921875" style="1" customWidth="1"/>
    <col min="3" max="3" width="31.09765625" style="1" customWidth="1"/>
    <col min="4" max="4" width="19.8984375" style="1" customWidth="1"/>
    <col min="5" max="5" width="17.69921875" style="1" customWidth="1"/>
    <col min="6" max="6" width="12.296875" style="1" customWidth="1"/>
    <col min="7" max="7" width="10.59765625" style="1" customWidth="1"/>
    <col min="8" max="8" width="8.69921875" style="1" customWidth="1"/>
    <col min="9" max="9" width="8.59765625" style="1" customWidth="1"/>
    <col min="10" max="16384" width="9.09765625" style="1"/>
  </cols>
  <sheetData>
    <row r="2" spans="1:9" ht="18" customHeight="1">
      <c r="B2" s="2" t="s">
        <v>2520</v>
      </c>
      <c r="C2" s="3" t="str">
        <f>IF(Lead!$C$5="","",Lead!$C$5)</f>
        <v>余江县天骏投资管理有限公司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43864</v>
      </c>
      <c r="H3" s="14" t="s">
        <v>2524</v>
      </c>
      <c r="I3" s="2748" t="s">
        <v>6600</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6">
      <c r="A7" s="24"/>
      <c r="B7" s="25" t="s">
        <v>2528</v>
      </c>
      <c r="C7" s="26" t="s">
        <v>5103</v>
      </c>
      <c r="D7" s="27" t="s">
        <v>5104</v>
      </c>
      <c r="E7" s="26" t="s">
        <v>5105</v>
      </c>
      <c r="F7" s="28" t="s">
        <v>5106</v>
      </c>
      <c r="G7" s="28" t="s">
        <v>5107</v>
      </c>
      <c r="H7" s="29" t="s">
        <v>2508</v>
      </c>
      <c r="I7" s="55"/>
    </row>
    <row r="8" spans="1:9" ht="17">
      <c r="A8" s="30"/>
      <c r="B8" s="31">
        <v>1</v>
      </c>
      <c r="C8" s="32"/>
      <c r="D8" s="33"/>
      <c r="E8" s="33"/>
      <c r="F8" s="33"/>
      <c r="G8" s="33"/>
      <c r="H8" s="34"/>
      <c r="I8" s="56"/>
    </row>
    <row r="9" spans="1:9" ht="17">
      <c r="A9" s="30"/>
      <c r="B9" s="31"/>
      <c r="C9" s="35"/>
      <c r="D9" s="33"/>
      <c r="E9" s="33"/>
      <c r="F9" s="33"/>
      <c r="G9" s="33"/>
      <c r="H9" s="34"/>
      <c r="I9" s="56"/>
    </row>
    <row r="10" spans="1:9" ht="17">
      <c r="A10" s="30"/>
      <c r="B10" s="31"/>
      <c r="C10" s="35"/>
      <c r="D10" s="33"/>
      <c r="E10" s="33"/>
      <c r="F10" s="33"/>
      <c r="G10" s="33"/>
      <c r="H10" s="34"/>
      <c r="I10" s="56"/>
    </row>
    <row r="11" spans="1:9" ht="17">
      <c r="A11" s="30"/>
      <c r="B11" s="31"/>
      <c r="C11" s="35"/>
      <c r="D11" s="33"/>
      <c r="E11" s="33"/>
      <c r="F11" s="33"/>
      <c r="G11" s="33"/>
      <c r="H11" s="34"/>
      <c r="I11" s="56"/>
    </row>
    <row r="12" spans="1:9" ht="17">
      <c r="A12" s="30"/>
      <c r="B12" s="31"/>
      <c r="C12" s="35"/>
      <c r="D12" s="33"/>
      <c r="E12" s="33"/>
      <c r="F12" s="33"/>
      <c r="G12" s="33"/>
      <c r="H12" s="34"/>
      <c r="I12" s="56"/>
    </row>
    <row r="13" spans="1:9" ht="17">
      <c r="A13" s="30"/>
      <c r="B13" s="36"/>
      <c r="C13" s="37"/>
      <c r="D13" s="38"/>
      <c r="E13" s="38"/>
      <c r="F13" s="38"/>
      <c r="G13" s="38"/>
      <c r="H13" s="39"/>
      <c r="I13" s="57"/>
    </row>
    <row r="14" spans="1:9" ht="17">
      <c r="A14" s="30"/>
      <c r="B14" s="40" t="s">
        <v>5108</v>
      </c>
      <c r="C14" s="41"/>
      <c r="D14" s="42"/>
      <c r="E14" s="42"/>
      <c r="F14" s="42"/>
      <c r="G14" s="42"/>
      <c r="H14" s="43"/>
      <c r="I14" s="58"/>
    </row>
    <row r="15" spans="1:9" ht="17">
      <c r="A15" s="30"/>
      <c r="B15" s="44"/>
      <c r="C15" s="45"/>
      <c r="D15" s="46"/>
      <c r="E15" s="46"/>
      <c r="F15" s="46"/>
      <c r="G15" s="46"/>
      <c r="H15" s="47"/>
      <c r="I15" s="59"/>
    </row>
    <row r="16" spans="1:9" ht="17">
      <c r="A16" s="30"/>
      <c r="B16" s="48"/>
      <c r="C16" s="49"/>
      <c r="D16" s="50"/>
      <c r="E16" s="50"/>
      <c r="F16" s="50"/>
      <c r="G16" s="50"/>
      <c r="H16" s="51"/>
      <c r="I16" s="60"/>
    </row>
    <row r="17" spans="1:9" ht="17">
      <c r="A17" s="30"/>
      <c r="B17" s="52"/>
      <c r="C17" s="52"/>
      <c r="D17" s="52"/>
      <c r="E17" s="52"/>
      <c r="F17" s="52"/>
      <c r="G17" s="52"/>
      <c r="H17" s="52"/>
      <c r="I17" s="52"/>
    </row>
    <row r="18" spans="1:9" ht="17">
      <c r="A18" s="30"/>
    </row>
    <row r="19" spans="1:9" ht="17">
      <c r="A19" s="30"/>
    </row>
    <row r="20" spans="1:9" ht="17">
      <c r="A20" s="30"/>
    </row>
    <row r="21" spans="1:9" ht="17">
      <c r="A21" s="30"/>
    </row>
    <row r="22" spans="1:9" ht="17">
      <c r="A22" s="30"/>
    </row>
    <row r="23" spans="1:9" ht="17">
      <c r="A23" s="30"/>
    </row>
    <row r="24" spans="1:9" ht="17">
      <c r="A24" s="30"/>
    </row>
    <row r="25" spans="1:9" ht="17">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09765625" defaultRowHeight="15.5"/>
  <cols>
    <col min="1" max="1" width="7.69921875" style="2947" customWidth="1"/>
    <col min="2" max="2" width="6" style="2906" customWidth="1"/>
    <col min="3" max="3" width="8.296875" style="2906" customWidth="1"/>
    <col min="4" max="4" width="26.8984375" style="2906" customWidth="1"/>
    <col min="5" max="6" width="11.09765625" style="2906" customWidth="1"/>
    <col min="7" max="8" width="9.8984375" style="2906" customWidth="1"/>
    <col min="9" max="9" width="14.8984375" style="2906" customWidth="1"/>
    <col min="10" max="10" width="9.8984375" style="2906" customWidth="1"/>
    <col min="11" max="11" width="10.3984375" style="2906" customWidth="1"/>
    <col min="12" max="16384" width="9.09765625" style="2906"/>
  </cols>
  <sheetData>
    <row r="1" spans="1:11" ht="16.5" customHeight="1">
      <c r="A1" s="2900"/>
      <c r="B1" s="2901" t="s">
        <v>6659</v>
      </c>
      <c r="C1" s="2901"/>
      <c r="D1" s="2902" t="str">
        <f>Lead!$E$9</f>
        <v>孙健</v>
      </c>
      <c r="E1" s="2903"/>
      <c r="F1" s="2903"/>
      <c r="G1" s="2904"/>
      <c r="H1" s="2904"/>
      <c r="I1" s="2904"/>
      <c r="J1" s="2904"/>
      <c r="K1" s="2905"/>
    </row>
    <row r="2" spans="1:11" ht="26.15" customHeight="1">
      <c r="A2" s="2907" t="str">
        <f>TEXT(Lead!$F$9,"yyyy-m-d")</f>
        <v>2020-2-3</v>
      </c>
      <c r="B2" s="2908"/>
      <c r="C2" s="2908"/>
      <c r="D2" s="2908"/>
      <c r="E2" s="2908"/>
      <c r="F2" s="2909"/>
      <c r="G2" s="2910"/>
      <c r="H2" s="2910"/>
      <c r="I2" s="2910"/>
      <c r="J2" s="2911"/>
      <c r="K2" s="2912"/>
    </row>
    <row r="3" spans="1:11">
      <c r="A3" s="2913" t="s">
        <v>6660</v>
      </c>
      <c r="B3" s="2914" t="str">
        <f>Lead!$C$5</f>
        <v>余江县天骏投资管理有限公司</v>
      </c>
      <c r="C3" s="2915"/>
      <c r="D3" s="2915"/>
      <c r="E3" s="2915"/>
      <c r="F3" s="2909"/>
      <c r="G3" s="2910"/>
      <c r="H3" s="2910"/>
      <c r="I3" s="2910"/>
      <c r="J3" s="2916" t="str">
        <f>""&amp;$B$1</f>
        <v>9000A</v>
      </c>
      <c r="K3" s="2912"/>
    </row>
    <row r="4" spans="1:11">
      <c r="A4" s="2917" t="s">
        <v>6661</v>
      </c>
      <c r="B4" s="2918" t="s">
        <v>6661</v>
      </c>
      <c r="C4" s="2915"/>
      <c r="D4" s="2915"/>
      <c r="E4" s="2915"/>
      <c r="F4" s="2909"/>
      <c r="G4" s="2910"/>
      <c r="H4" s="2910"/>
      <c r="I4" s="2910"/>
      <c r="J4" s="2919" t="str">
        <f>$D$1&amp;" "&amp;IF($A$2="","",TEXT($A$2,"YYYY-M-D"))</f>
        <v>孙健 2020-2-3</v>
      </c>
      <c r="K4" s="2912"/>
    </row>
    <row r="5" spans="1:11" ht="16" thickBot="1">
      <c r="A5" s="2907">
        <f>Lead!$E$10</f>
        <v>0</v>
      </c>
      <c r="B5" s="2920" t="str">
        <f>TEXT(Lead!$F$5,"yyyy-m-d")</f>
        <v>2019-12-31</v>
      </c>
      <c r="C5" s="2921"/>
      <c r="D5" s="2921"/>
      <c r="E5" s="2921"/>
      <c r="F5" s="2922"/>
      <c r="G5" s="2923"/>
      <c r="H5" s="2923"/>
      <c r="I5" s="2923"/>
      <c r="J5" s="2924" t="str">
        <f>$A$5&amp;" "&amp;IF($A$6="","",TEXT($A$6,"YYYY-M-D"))</f>
        <v xml:space="preserve">0 </v>
      </c>
      <c r="K5" s="2912"/>
    </row>
    <row r="6" spans="1:11" ht="16"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6662</v>
      </c>
      <c r="C8" s="3342" t="s">
        <v>6663</v>
      </c>
      <c r="D8" s="3342"/>
      <c r="E8" s="3342"/>
      <c r="F8" s="3342"/>
      <c r="G8" s="3342"/>
      <c r="H8" s="2930" t="s">
        <v>6664</v>
      </c>
      <c r="I8" s="2931" t="s">
        <v>6665</v>
      </c>
      <c r="J8" s="2932" t="s">
        <v>6666</v>
      </c>
      <c r="K8" s="2905"/>
    </row>
    <row r="9" spans="1:11" s="2928" customFormat="1" ht="39.75" customHeight="1">
      <c r="A9" s="2925"/>
      <c r="B9" s="2933">
        <v>1</v>
      </c>
      <c r="C9" s="3333" t="s">
        <v>6667</v>
      </c>
      <c r="D9" s="3334"/>
      <c r="E9" s="3334"/>
      <c r="F9" s="3334"/>
      <c r="G9" s="3334"/>
      <c r="H9" s="2934"/>
      <c r="I9" s="2935"/>
      <c r="J9" s="2936"/>
      <c r="K9" s="2905"/>
    </row>
    <row r="10" spans="1:11" s="2928" customFormat="1" ht="51" customHeight="1">
      <c r="A10" s="2925"/>
      <c r="B10" s="2933">
        <v>2</v>
      </c>
      <c r="C10" s="3333" t="s">
        <v>6668</v>
      </c>
      <c r="D10" s="3334"/>
      <c r="E10" s="3334"/>
      <c r="F10" s="3334"/>
      <c r="G10" s="3334"/>
      <c r="H10" s="2934"/>
      <c r="I10" s="2935"/>
      <c r="J10" s="2937"/>
      <c r="K10" s="2905"/>
    </row>
    <row r="11" spans="1:11" s="2928" customFormat="1" ht="20.25" customHeight="1">
      <c r="A11" s="2925"/>
      <c r="B11" s="2938" t="s">
        <v>6669</v>
      </c>
      <c r="C11" s="3339" t="s">
        <v>6670</v>
      </c>
      <c r="D11" s="3341"/>
      <c r="E11" s="3341"/>
      <c r="F11" s="3341"/>
      <c r="G11" s="3341"/>
      <c r="H11" s="2939"/>
      <c r="I11" s="2935"/>
      <c r="J11" s="2936"/>
      <c r="K11" s="2905"/>
    </row>
    <row r="12" spans="1:11" s="2928" customFormat="1" ht="31.5" customHeight="1">
      <c r="A12" s="2925"/>
      <c r="B12" s="2938" t="s">
        <v>6671</v>
      </c>
      <c r="C12" s="3339" t="s">
        <v>6672</v>
      </c>
      <c r="D12" s="3341"/>
      <c r="E12" s="3341"/>
      <c r="F12" s="3341"/>
      <c r="G12" s="3341"/>
      <c r="H12" s="2939"/>
      <c r="I12" s="2935"/>
      <c r="J12" s="2936"/>
      <c r="K12" s="2905"/>
    </row>
    <row r="13" spans="1:11" s="2928" customFormat="1" ht="39" customHeight="1">
      <c r="A13" s="2925"/>
      <c r="B13" s="2938" t="s">
        <v>6673</v>
      </c>
      <c r="C13" s="3339" t="s">
        <v>6674</v>
      </c>
      <c r="D13" s="3341"/>
      <c r="E13" s="3341"/>
      <c r="F13" s="3341"/>
      <c r="G13" s="3341"/>
      <c r="H13" s="2939"/>
      <c r="I13" s="2935"/>
      <c r="J13" s="2936"/>
      <c r="K13" s="2905"/>
    </row>
    <row r="14" spans="1:11" s="2928" customFormat="1" ht="69" customHeight="1">
      <c r="A14" s="2925"/>
      <c r="B14" s="2933">
        <v>3</v>
      </c>
      <c r="C14" s="3333" t="s">
        <v>6675</v>
      </c>
      <c r="D14" s="3334"/>
      <c r="E14" s="3334"/>
      <c r="F14" s="3334"/>
      <c r="G14" s="3334"/>
      <c r="H14" s="2934"/>
      <c r="I14" s="2940"/>
      <c r="J14" s="2937"/>
      <c r="K14" s="2905"/>
    </row>
    <row r="15" spans="1:11" s="2928" customFormat="1" ht="41.25" customHeight="1">
      <c r="A15" s="2925"/>
      <c r="B15" s="2938" t="s">
        <v>6669</v>
      </c>
      <c r="C15" s="3339" t="s">
        <v>6676</v>
      </c>
      <c r="D15" s="3340"/>
      <c r="E15" s="3340"/>
      <c r="F15" s="3340"/>
      <c r="G15" s="3340"/>
      <c r="H15" s="2941"/>
      <c r="I15" s="2935"/>
      <c r="J15" s="2936"/>
      <c r="K15" s="2905"/>
    </row>
    <row r="16" spans="1:11" s="2928" customFormat="1" ht="38.25" customHeight="1">
      <c r="A16" s="2925"/>
      <c r="B16" s="2938" t="s">
        <v>6671</v>
      </c>
      <c r="C16" s="3339" t="s">
        <v>6677</v>
      </c>
      <c r="D16" s="3340"/>
      <c r="E16" s="3340"/>
      <c r="F16" s="3340"/>
      <c r="G16" s="3340"/>
      <c r="H16" s="2941"/>
      <c r="I16" s="2935"/>
      <c r="J16" s="2936"/>
      <c r="K16" s="2905"/>
    </row>
    <row r="17" spans="1:11" s="2928" customFormat="1" ht="53.25" customHeight="1">
      <c r="A17" s="2925"/>
      <c r="B17" s="2938" t="s">
        <v>6678</v>
      </c>
      <c r="C17" s="3339" t="s">
        <v>6679</v>
      </c>
      <c r="D17" s="3341"/>
      <c r="E17" s="3341"/>
      <c r="F17" s="3341"/>
      <c r="G17" s="3341"/>
      <c r="H17" s="2939"/>
      <c r="I17" s="2935"/>
      <c r="J17" s="2936"/>
      <c r="K17" s="2905"/>
    </row>
    <row r="18" spans="1:11" s="2928" customFormat="1" ht="39" customHeight="1">
      <c r="A18" s="2925"/>
      <c r="B18" s="2933" t="s">
        <v>6680</v>
      </c>
      <c r="C18" s="3339" t="s">
        <v>6681</v>
      </c>
      <c r="D18" s="3341"/>
      <c r="E18" s="3341"/>
      <c r="F18" s="3341"/>
      <c r="G18" s="3341"/>
      <c r="H18" s="2942"/>
      <c r="I18" s="2935"/>
      <c r="J18" s="2936"/>
      <c r="K18" s="2905"/>
    </row>
    <row r="19" spans="1:11" s="2928" customFormat="1" ht="53.25" customHeight="1">
      <c r="A19" s="2925"/>
      <c r="B19" s="2933" t="s">
        <v>6682</v>
      </c>
      <c r="C19" s="3339" t="s">
        <v>6683</v>
      </c>
      <c r="D19" s="3341"/>
      <c r="E19" s="3341"/>
      <c r="F19" s="3341"/>
      <c r="G19" s="3341"/>
      <c r="H19" s="2942"/>
      <c r="I19" s="2935"/>
      <c r="J19" s="2936"/>
      <c r="K19" s="2905"/>
    </row>
    <row r="20" spans="1:11" s="2928" customFormat="1" ht="53.25" customHeight="1">
      <c r="A20" s="2925"/>
      <c r="B20" s="2933" t="s">
        <v>6684</v>
      </c>
      <c r="C20" s="3339" t="s">
        <v>6685</v>
      </c>
      <c r="D20" s="3341"/>
      <c r="E20" s="3341"/>
      <c r="F20" s="3341"/>
      <c r="G20" s="3341"/>
      <c r="H20" s="2942"/>
      <c r="I20" s="2935"/>
      <c r="J20" s="2936"/>
      <c r="K20" s="2905"/>
    </row>
    <row r="21" spans="1:11" s="2928" customFormat="1" ht="42.75" customHeight="1">
      <c r="A21" s="2925"/>
      <c r="B21" s="2933" t="s">
        <v>6686</v>
      </c>
      <c r="C21" s="3339" t="s">
        <v>6687</v>
      </c>
      <c r="D21" s="3341"/>
      <c r="E21" s="3341"/>
      <c r="F21" s="3341"/>
      <c r="G21" s="3341"/>
      <c r="H21" s="2942"/>
      <c r="I21" s="2935"/>
      <c r="J21" s="2936"/>
      <c r="K21" s="2905"/>
    </row>
    <row r="22" spans="1:11" s="2928" customFormat="1" ht="60.75" customHeight="1">
      <c r="A22" s="2925"/>
      <c r="B22" s="2933" t="s">
        <v>6688</v>
      </c>
      <c r="C22" s="3339" t="s">
        <v>6689</v>
      </c>
      <c r="D22" s="3341"/>
      <c r="E22" s="3341"/>
      <c r="F22" s="3341"/>
      <c r="G22" s="3341"/>
      <c r="H22" s="2942"/>
      <c r="I22" s="2935"/>
      <c r="J22" s="2936"/>
      <c r="K22" s="2905"/>
    </row>
    <row r="23" spans="1:11" s="2928" customFormat="1" ht="36" customHeight="1">
      <c r="A23" s="2925"/>
      <c r="B23" s="2933" t="s">
        <v>6690</v>
      </c>
      <c r="C23" s="3339" t="s">
        <v>6691</v>
      </c>
      <c r="D23" s="3341"/>
      <c r="E23" s="3341"/>
      <c r="F23" s="3341"/>
      <c r="G23" s="3341"/>
      <c r="H23" s="2942"/>
      <c r="I23" s="2935"/>
      <c r="J23" s="2936"/>
      <c r="K23" s="2905"/>
    </row>
    <row r="24" spans="1:11" s="2928" customFormat="1" ht="42" customHeight="1">
      <c r="A24" s="2925"/>
      <c r="B24" s="2938" t="s">
        <v>6692</v>
      </c>
      <c r="C24" s="3339" t="s">
        <v>6693</v>
      </c>
      <c r="D24" s="3341"/>
      <c r="E24" s="3341"/>
      <c r="F24" s="3341"/>
      <c r="G24" s="3341"/>
      <c r="H24" s="2939"/>
      <c r="I24" s="2935"/>
      <c r="J24" s="2936"/>
      <c r="K24" s="2905"/>
    </row>
    <row r="25" spans="1:11" s="2928" customFormat="1" ht="40.5" customHeight="1">
      <c r="A25" s="2925"/>
      <c r="B25" s="2933">
        <v>4</v>
      </c>
      <c r="C25" s="3333" t="s">
        <v>6694</v>
      </c>
      <c r="D25" s="3334"/>
      <c r="E25" s="3334"/>
      <c r="F25" s="3334"/>
      <c r="G25" s="3334"/>
      <c r="H25" s="2934"/>
      <c r="I25" s="2935"/>
      <c r="J25" s="2936"/>
      <c r="K25" s="2905"/>
    </row>
    <row r="26" spans="1:11" s="2928" customFormat="1" ht="117" customHeight="1">
      <c r="A26" s="2925"/>
      <c r="B26" s="2933">
        <v>5</v>
      </c>
      <c r="C26" s="3333" t="s">
        <v>6695</v>
      </c>
      <c r="D26" s="3334"/>
      <c r="E26" s="3334"/>
      <c r="F26" s="3334"/>
      <c r="G26" s="3334"/>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6696</v>
      </c>
      <c r="C29" s="2945"/>
      <c r="D29" s="2945"/>
      <c r="E29" s="2945"/>
      <c r="F29" s="2945"/>
      <c r="G29" s="2945"/>
      <c r="H29" s="2945"/>
      <c r="I29" s="2945"/>
      <c r="J29" s="2945"/>
      <c r="K29" s="2946"/>
    </row>
    <row r="30" spans="1:11">
      <c r="B30" s="2948" t="s">
        <v>6697</v>
      </c>
    </row>
    <row r="130" spans="2:10">
      <c r="B130" s="2949"/>
      <c r="C130" s="2950"/>
      <c r="D130" s="2950"/>
      <c r="E130" s="2950"/>
      <c r="F130" s="2950"/>
      <c r="G130" s="2950"/>
      <c r="H130" s="2950"/>
      <c r="I130" s="2950"/>
      <c r="J130" s="2950"/>
    </row>
    <row r="131" spans="2:10">
      <c r="B131" s="3335"/>
      <c r="C131" s="3336"/>
      <c r="D131" s="3336"/>
      <c r="E131" s="3336"/>
      <c r="F131" s="3336"/>
      <c r="G131" s="3336"/>
      <c r="H131" s="3336"/>
      <c r="I131" s="3336"/>
      <c r="J131" s="3336"/>
    </row>
    <row r="132" spans="2:10">
      <c r="B132" s="3336"/>
      <c r="C132" s="3336"/>
      <c r="D132" s="3336"/>
      <c r="E132" s="3336"/>
      <c r="F132" s="3336"/>
      <c r="G132" s="3336"/>
      <c r="H132" s="3336"/>
      <c r="I132" s="3336"/>
      <c r="J132" s="3336"/>
    </row>
    <row r="133" spans="2:10">
      <c r="B133" s="3336"/>
      <c r="C133" s="3336"/>
      <c r="D133" s="3336"/>
      <c r="E133" s="3336"/>
      <c r="F133" s="3336"/>
      <c r="G133" s="3336"/>
      <c r="H133" s="3336"/>
      <c r="I133" s="3336"/>
      <c r="J133" s="3336"/>
    </row>
    <row r="134" spans="2:10">
      <c r="B134" s="2950"/>
      <c r="C134" s="2950"/>
      <c r="D134" s="2950"/>
      <c r="E134" s="2950"/>
      <c r="F134" s="2950"/>
      <c r="G134" s="2950"/>
      <c r="H134" s="2950"/>
      <c r="I134" s="2950"/>
      <c r="J134" s="2950"/>
    </row>
    <row r="135" spans="2:10">
      <c r="B135" s="3337"/>
      <c r="C135" s="3338"/>
      <c r="D135" s="3338"/>
      <c r="E135" s="3338"/>
      <c r="F135" s="3338"/>
      <c r="G135" s="3338"/>
      <c r="H135" s="3338"/>
      <c r="I135" s="3338"/>
      <c r="J135" s="3338"/>
    </row>
    <row r="136" spans="2:10" ht="56.25" customHeight="1">
      <c r="B136" s="3336"/>
      <c r="C136" s="3336"/>
      <c r="D136" s="3336"/>
      <c r="E136" s="3336"/>
      <c r="F136" s="3336"/>
      <c r="G136" s="3336"/>
      <c r="H136" s="3336"/>
      <c r="I136" s="3336"/>
      <c r="J136" s="3336"/>
    </row>
    <row r="137" spans="2:10">
      <c r="B137" s="2951"/>
      <c r="C137" s="2951"/>
      <c r="D137" s="2951"/>
      <c r="E137" s="2951"/>
      <c r="F137" s="2951"/>
      <c r="G137" s="2951"/>
      <c r="H137" s="2951"/>
      <c r="I137" s="2951"/>
      <c r="J137" s="2951"/>
    </row>
    <row r="138" spans="2:10">
      <c r="B138" s="3336"/>
      <c r="C138" s="3336"/>
      <c r="D138" s="3336"/>
      <c r="E138" s="3336"/>
      <c r="F138" s="3336"/>
      <c r="G138" s="3336"/>
      <c r="H138" s="3336"/>
      <c r="I138" s="3336"/>
      <c r="J138" s="3336"/>
    </row>
    <row r="139" spans="2:10">
      <c r="B139" s="2952"/>
      <c r="C139" s="2952"/>
      <c r="D139" s="2952"/>
      <c r="E139" s="2952"/>
      <c r="F139" s="2952"/>
      <c r="G139" s="2952"/>
      <c r="H139" s="2952"/>
      <c r="I139" s="2952"/>
      <c r="J139" s="2952"/>
    </row>
    <row r="140" spans="2:10">
      <c r="B140" s="3331"/>
      <c r="C140" s="3331"/>
      <c r="D140" s="3331"/>
      <c r="E140" s="3331"/>
      <c r="F140" s="3331"/>
      <c r="G140" s="3331"/>
      <c r="H140" s="3331"/>
      <c r="I140" s="3331"/>
      <c r="J140" s="3331"/>
    </row>
    <row r="141" spans="2:10">
      <c r="B141" s="2952"/>
      <c r="C141" s="2952"/>
      <c r="D141" s="2952"/>
      <c r="E141" s="2952"/>
      <c r="F141" s="2952"/>
      <c r="G141" s="2952"/>
      <c r="H141" s="2952"/>
      <c r="I141" s="2952"/>
      <c r="J141" s="2952"/>
    </row>
    <row r="142" spans="2:10">
      <c r="B142" s="3331"/>
      <c r="C142" s="3331"/>
      <c r="D142" s="3331"/>
      <c r="E142" s="3331"/>
      <c r="F142" s="3331"/>
      <c r="G142" s="3331"/>
      <c r="H142" s="3331"/>
      <c r="I142" s="3331"/>
      <c r="J142" s="3331"/>
    </row>
    <row r="143" spans="2:10">
      <c r="B143" s="2952"/>
      <c r="C143" s="2952"/>
      <c r="D143" s="2952"/>
      <c r="E143" s="2952"/>
      <c r="F143" s="2952"/>
      <c r="G143" s="2952"/>
      <c r="H143" s="2952"/>
      <c r="I143" s="2952"/>
      <c r="J143" s="2952"/>
    </row>
    <row r="144" spans="2:10">
      <c r="B144" s="3331"/>
      <c r="C144" s="3331"/>
      <c r="D144" s="3331"/>
      <c r="E144" s="3331"/>
      <c r="F144" s="3331"/>
      <c r="G144" s="3331"/>
      <c r="H144" s="3331"/>
      <c r="I144" s="3331"/>
      <c r="J144" s="3331"/>
    </row>
    <row r="145" spans="2:10">
      <c r="B145" s="2952"/>
      <c r="C145" s="2952"/>
      <c r="D145" s="2952"/>
      <c r="E145" s="2952"/>
      <c r="F145" s="2952"/>
      <c r="G145" s="2952"/>
      <c r="H145" s="2952"/>
      <c r="I145" s="2952"/>
      <c r="J145" s="2952"/>
    </row>
    <row r="146" spans="2:10">
      <c r="B146" s="3337"/>
      <c r="C146" s="3338"/>
      <c r="D146" s="3338"/>
      <c r="E146" s="3338"/>
      <c r="F146" s="3338"/>
      <c r="G146" s="3338"/>
      <c r="H146" s="3338"/>
      <c r="I146" s="3338"/>
      <c r="J146" s="3338"/>
    </row>
    <row r="147" spans="2:10">
      <c r="B147" s="3328"/>
      <c r="C147" s="3329"/>
      <c r="D147" s="3329"/>
      <c r="E147" s="3329"/>
      <c r="F147" s="3329"/>
      <c r="G147" s="3329"/>
      <c r="H147" s="3329"/>
      <c r="I147" s="3329"/>
      <c r="J147" s="3329"/>
    </row>
    <row r="148" spans="2:10">
      <c r="B148" s="3330"/>
      <c r="C148" s="3330"/>
      <c r="D148" s="3330"/>
      <c r="E148" s="3330"/>
      <c r="F148" s="3330"/>
      <c r="G148" s="3330"/>
      <c r="H148" s="3330"/>
      <c r="I148" s="3330"/>
      <c r="J148" s="3330"/>
    </row>
    <row r="149" spans="2:10">
      <c r="B149" s="3328"/>
      <c r="C149" s="3329"/>
      <c r="D149" s="3329"/>
      <c r="E149" s="3329"/>
      <c r="F149" s="3329"/>
      <c r="G149" s="3329"/>
      <c r="H149" s="3329"/>
      <c r="I149" s="3329"/>
      <c r="J149" s="3329"/>
    </row>
    <row r="150" spans="2:10" ht="63" customHeight="1">
      <c r="B150" s="3330"/>
      <c r="C150" s="3330"/>
      <c r="D150" s="3330"/>
      <c r="E150" s="3330"/>
      <c r="F150" s="3330"/>
      <c r="G150" s="3330"/>
      <c r="H150" s="3330"/>
      <c r="I150" s="3330"/>
      <c r="J150" s="3330"/>
    </row>
    <row r="151" spans="2:10" ht="36" customHeight="1">
      <c r="B151" s="3330"/>
      <c r="C151" s="3330"/>
      <c r="D151" s="3330"/>
      <c r="E151" s="3330"/>
      <c r="F151" s="3330"/>
      <c r="G151" s="3330"/>
      <c r="H151" s="3330"/>
      <c r="I151" s="3330"/>
      <c r="J151" s="3330"/>
    </row>
    <row r="152" spans="2:10" ht="42" customHeight="1">
      <c r="B152" s="3331"/>
      <c r="C152" s="3331"/>
      <c r="D152" s="3331"/>
      <c r="E152" s="3331"/>
      <c r="F152" s="3331"/>
      <c r="G152" s="3331"/>
      <c r="H152" s="3331"/>
      <c r="I152" s="3331"/>
      <c r="J152" s="3331"/>
    </row>
    <row r="153" spans="2:10" ht="47.25" customHeight="1">
      <c r="B153" s="3331"/>
      <c r="C153" s="3331"/>
      <c r="D153" s="3331"/>
      <c r="E153" s="3331"/>
      <c r="F153" s="3331"/>
      <c r="G153" s="3331"/>
      <c r="H153" s="3331"/>
      <c r="I153" s="3331"/>
      <c r="J153" s="3331"/>
    </row>
    <row r="154" spans="2:10" ht="51" customHeight="1">
      <c r="B154" s="3331"/>
      <c r="C154" s="3331"/>
      <c r="D154" s="3331"/>
      <c r="E154" s="3331"/>
      <c r="F154" s="3331"/>
      <c r="G154" s="3331"/>
      <c r="H154" s="3331"/>
      <c r="I154" s="3331"/>
      <c r="J154" s="3331"/>
    </row>
    <row r="155" spans="2:10">
      <c r="B155" s="3328"/>
      <c r="C155" s="3329"/>
      <c r="D155" s="3329"/>
      <c r="E155" s="3329"/>
      <c r="F155" s="3329"/>
      <c r="G155" s="3329"/>
      <c r="H155" s="3329"/>
      <c r="I155" s="3329"/>
      <c r="J155" s="3329"/>
    </row>
    <row r="156" spans="2:10" ht="30" customHeight="1">
      <c r="B156" s="3330"/>
      <c r="C156" s="3330"/>
      <c r="D156" s="3330"/>
      <c r="E156" s="3330"/>
      <c r="F156" s="3330"/>
      <c r="G156" s="3330"/>
      <c r="H156" s="3330"/>
      <c r="I156" s="3330"/>
      <c r="J156" s="3330"/>
    </row>
    <row r="157" spans="2:10" ht="29.25" customHeight="1">
      <c r="B157" s="3330"/>
      <c r="C157" s="3330"/>
      <c r="D157" s="3330"/>
      <c r="E157" s="3330"/>
      <c r="F157" s="3330"/>
      <c r="G157" s="3330"/>
      <c r="H157" s="3330"/>
      <c r="I157" s="3330"/>
      <c r="J157" s="3330"/>
    </row>
    <row r="158" spans="2:10" ht="37.5" customHeight="1">
      <c r="B158" s="3331"/>
      <c r="C158" s="3331"/>
      <c r="D158" s="3331"/>
      <c r="E158" s="3331"/>
      <c r="F158" s="3331"/>
      <c r="G158" s="3331"/>
      <c r="H158" s="3331"/>
      <c r="I158" s="3331"/>
      <c r="J158" s="3331"/>
    </row>
    <row r="159" spans="2:10" ht="56.25" customHeight="1">
      <c r="B159" s="3331"/>
      <c r="C159" s="3331"/>
      <c r="D159" s="3331"/>
      <c r="E159" s="3331"/>
      <c r="F159" s="3331"/>
      <c r="G159" s="3331"/>
      <c r="H159" s="3331"/>
      <c r="I159" s="3331"/>
      <c r="J159" s="3331"/>
    </row>
    <row r="160" spans="2:10">
      <c r="B160" s="3328"/>
      <c r="C160" s="3329"/>
      <c r="D160" s="3329"/>
      <c r="E160" s="3329"/>
      <c r="F160" s="3329"/>
      <c r="G160" s="3329"/>
      <c r="H160" s="3329"/>
      <c r="I160" s="3329"/>
      <c r="J160" s="3329"/>
    </row>
    <row r="161" spans="2:10">
      <c r="B161" s="3328"/>
      <c r="C161" s="3329"/>
      <c r="D161" s="3329"/>
      <c r="E161" s="3329"/>
      <c r="F161" s="3329"/>
      <c r="G161" s="3329"/>
      <c r="H161" s="3329"/>
      <c r="I161" s="3329"/>
      <c r="J161" s="3329"/>
    </row>
    <row r="162" spans="2:10" ht="35.25" customHeight="1">
      <c r="B162" s="3330"/>
      <c r="C162" s="3330"/>
      <c r="D162" s="3330"/>
      <c r="E162" s="3330"/>
      <c r="F162" s="3330"/>
      <c r="G162" s="3330"/>
      <c r="H162" s="3330"/>
      <c r="I162" s="3330"/>
      <c r="J162" s="3330"/>
    </row>
    <row r="163" spans="2:10" ht="33.75" customHeight="1">
      <c r="B163" s="3331"/>
      <c r="C163" s="3331"/>
      <c r="D163" s="3331"/>
      <c r="E163" s="3331"/>
      <c r="F163" s="3331"/>
      <c r="G163" s="3331"/>
      <c r="H163" s="3331"/>
      <c r="I163" s="3331"/>
      <c r="J163" s="3331"/>
    </row>
    <row r="164" spans="2:10">
      <c r="B164" s="3329"/>
      <c r="C164" s="3329"/>
      <c r="D164" s="3329"/>
      <c r="E164" s="3329"/>
      <c r="F164" s="3329"/>
      <c r="G164" s="3329"/>
      <c r="H164" s="3329"/>
      <c r="I164" s="3329"/>
      <c r="J164" s="3329"/>
    </row>
    <row r="165" spans="2:10" ht="25.5" customHeight="1">
      <c r="B165" s="3328"/>
      <c r="C165" s="3329"/>
      <c r="D165" s="3329"/>
      <c r="E165" s="3329"/>
      <c r="F165" s="3329"/>
      <c r="G165" s="3329"/>
      <c r="H165" s="3329"/>
      <c r="I165" s="3329"/>
      <c r="J165" s="3329"/>
    </row>
    <row r="166" spans="2:10" ht="27" customHeight="1">
      <c r="B166" s="3330"/>
      <c r="C166" s="3330"/>
      <c r="D166" s="3330"/>
      <c r="E166" s="3330"/>
      <c r="F166" s="3330"/>
      <c r="G166" s="3330"/>
      <c r="H166" s="3330"/>
      <c r="I166" s="3330"/>
      <c r="J166" s="3330"/>
    </row>
    <row r="167" spans="2:10" ht="38.25" customHeight="1">
      <c r="B167" s="3331"/>
      <c r="C167" s="3331"/>
      <c r="D167" s="3331"/>
      <c r="E167" s="3331"/>
      <c r="F167" s="3331"/>
      <c r="G167" s="3331"/>
      <c r="H167" s="3331"/>
      <c r="I167" s="3331"/>
      <c r="J167" s="3331"/>
    </row>
    <row r="168" spans="2:10" ht="56.25" customHeight="1">
      <c r="B168" s="3331"/>
      <c r="C168" s="3331"/>
      <c r="D168" s="3331"/>
      <c r="E168" s="3331"/>
      <c r="F168" s="3331"/>
      <c r="G168" s="3331"/>
      <c r="H168" s="3331"/>
      <c r="I168" s="3331"/>
      <c r="J168" s="3331"/>
    </row>
    <row r="169" spans="2:10" ht="74.25" customHeight="1">
      <c r="B169" s="3331"/>
      <c r="C169" s="3331"/>
      <c r="D169" s="3331"/>
      <c r="E169" s="3331"/>
      <c r="F169" s="3331"/>
      <c r="G169" s="3331"/>
      <c r="H169" s="3331"/>
      <c r="I169" s="3331"/>
      <c r="J169" s="3331"/>
    </row>
    <row r="170" spans="2:10" ht="205.5" customHeight="1">
      <c r="B170" s="3331"/>
      <c r="C170" s="3331"/>
      <c r="D170" s="3331"/>
      <c r="E170" s="3331"/>
      <c r="F170" s="3331"/>
      <c r="G170" s="3331"/>
      <c r="H170" s="3331"/>
      <c r="I170" s="3331"/>
      <c r="J170" s="3331"/>
    </row>
    <row r="171" spans="2:10" ht="52.5" customHeight="1">
      <c r="B171" s="3331"/>
      <c r="C171" s="3331"/>
      <c r="D171" s="3331"/>
      <c r="E171" s="3331"/>
      <c r="F171" s="3331"/>
      <c r="G171" s="3331"/>
      <c r="H171" s="3331"/>
      <c r="I171" s="3331"/>
      <c r="J171" s="3331"/>
    </row>
    <row r="172" spans="2:10" ht="31.5" customHeight="1">
      <c r="B172" s="3332"/>
      <c r="C172" s="3332"/>
      <c r="D172" s="3332"/>
      <c r="E172" s="3332"/>
      <c r="F172" s="3332"/>
      <c r="G172" s="3332"/>
      <c r="H172" s="3332"/>
      <c r="I172" s="3332"/>
      <c r="J172" s="3332"/>
    </row>
    <row r="173" spans="2:10">
      <c r="B173" s="3329"/>
      <c r="C173" s="3329"/>
      <c r="D173" s="3329"/>
      <c r="E173" s="3329"/>
      <c r="F173" s="3329"/>
      <c r="G173" s="3329"/>
      <c r="H173" s="3329"/>
      <c r="I173" s="3329"/>
      <c r="J173" s="3329"/>
    </row>
    <row r="174" spans="2:10" ht="33" customHeight="1">
      <c r="B174" s="3331"/>
      <c r="C174" s="3331"/>
      <c r="D174" s="3331"/>
      <c r="E174" s="3331"/>
      <c r="F174" s="3331"/>
      <c r="G174" s="3331"/>
      <c r="H174" s="3331"/>
      <c r="I174" s="3331"/>
      <c r="J174" s="3331"/>
    </row>
    <row r="175" spans="2:10" ht="48" customHeight="1">
      <c r="B175" s="3332"/>
      <c r="C175" s="3332"/>
      <c r="D175" s="3332"/>
      <c r="E175" s="3332"/>
      <c r="F175" s="3332"/>
      <c r="G175" s="3332"/>
      <c r="H175" s="3332"/>
      <c r="I175" s="3332"/>
      <c r="J175" s="3332"/>
    </row>
    <row r="176" spans="2:10" ht="55.5" customHeight="1">
      <c r="B176" s="3332"/>
      <c r="C176" s="3332"/>
      <c r="D176" s="3332"/>
      <c r="E176" s="3332"/>
      <c r="F176" s="3332"/>
      <c r="G176" s="3332"/>
      <c r="H176" s="3332"/>
      <c r="I176" s="3332"/>
      <c r="J176" s="3332"/>
    </row>
    <row r="177" spans="2:10" ht="42" customHeight="1">
      <c r="B177" s="3332"/>
      <c r="C177" s="3332"/>
      <c r="D177" s="3332"/>
      <c r="E177" s="3332"/>
      <c r="F177" s="3332"/>
      <c r="G177" s="3332"/>
      <c r="H177" s="3332"/>
      <c r="I177" s="3332"/>
      <c r="J177" s="3332"/>
    </row>
    <row r="178" spans="2:10">
      <c r="B178" s="3328"/>
      <c r="C178" s="3329"/>
      <c r="D178" s="3329"/>
      <c r="E178" s="3329"/>
      <c r="F178" s="3329"/>
      <c r="G178" s="3329"/>
      <c r="H178" s="3329"/>
      <c r="I178" s="3329"/>
      <c r="J178" s="3329"/>
    </row>
    <row r="179" spans="2:10" ht="32.25" customHeight="1">
      <c r="B179" s="3330"/>
      <c r="C179" s="3330"/>
      <c r="D179" s="3330"/>
      <c r="E179" s="3330"/>
      <c r="F179" s="3330"/>
      <c r="G179" s="3330"/>
      <c r="H179" s="3330"/>
      <c r="I179" s="3330"/>
      <c r="J179" s="3330"/>
    </row>
    <row r="180" spans="2:10" ht="35.25" customHeight="1">
      <c r="B180" s="3331"/>
      <c r="C180" s="3331"/>
      <c r="D180" s="3331"/>
      <c r="E180" s="3331"/>
      <c r="F180" s="3331"/>
      <c r="G180" s="3331"/>
      <c r="H180" s="3331"/>
      <c r="I180" s="3331"/>
      <c r="J180" s="3331"/>
    </row>
    <row r="181" spans="2:10" ht="31.5" customHeight="1">
      <c r="B181" s="3330"/>
      <c r="C181" s="3330"/>
      <c r="D181" s="3330"/>
      <c r="E181" s="3330"/>
      <c r="F181" s="3330"/>
      <c r="G181" s="3330"/>
      <c r="H181" s="3330"/>
      <c r="I181" s="3330"/>
      <c r="J181" s="3330"/>
    </row>
    <row r="182" spans="2:10">
      <c r="B182" s="3328"/>
      <c r="C182" s="3329"/>
      <c r="D182" s="3329"/>
      <c r="E182" s="3329"/>
      <c r="F182" s="3329"/>
      <c r="G182" s="3329"/>
      <c r="H182" s="3329"/>
      <c r="I182" s="3329"/>
      <c r="J182" s="3329"/>
    </row>
    <row r="183" spans="2:10" ht="32.25" customHeight="1">
      <c r="B183" s="3330"/>
      <c r="C183" s="3330"/>
      <c r="D183" s="3330"/>
      <c r="E183" s="3330"/>
      <c r="F183" s="3330"/>
      <c r="G183" s="3330"/>
      <c r="H183" s="3330"/>
      <c r="I183" s="3330"/>
      <c r="J183" s="3330"/>
    </row>
    <row r="184" spans="2:10" ht="36" customHeight="1">
      <c r="B184" s="3330"/>
      <c r="C184" s="3330"/>
      <c r="D184" s="3330"/>
      <c r="E184" s="3330"/>
      <c r="F184" s="3330"/>
      <c r="G184" s="3330"/>
      <c r="H184" s="3330"/>
      <c r="I184" s="3330"/>
      <c r="J184" s="3330"/>
    </row>
    <row r="185" spans="2:10" ht="44.25" customHeight="1">
      <c r="B185" s="3331"/>
      <c r="C185" s="3331"/>
      <c r="D185" s="3331"/>
      <c r="E185" s="3331"/>
      <c r="F185" s="3331"/>
      <c r="G185" s="3331"/>
      <c r="H185" s="3331"/>
      <c r="I185" s="3331"/>
      <c r="J185" s="3331"/>
    </row>
    <row r="186" spans="2:10" ht="35.25" customHeight="1">
      <c r="B186" s="3331"/>
      <c r="C186" s="3331"/>
      <c r="D186" s="3331"/>
      <c r="E186" s="3331"/>
      <c r="F186" s="3331"/>
      <c r="G186" s="3331"/>
      <c r="H186" s="3331"/>
      <c r="I186" s="3331"/>
      <c r="J186" s="3331"/>
    </row>
    <row r="187" spans="2:10">
      <c r="B187" s="3328"/>
      <c r="C187" s="3329"/>
      <c r="D187" s="3329"/>
      <c r="E187" s="3329"/>
      <c r="F187" s="3329"/>
      <c r="G187" s="3329"/>
      <c r="H187" s="3329"/>
      <c r="I187" s="3329"/>
      <c r="J187" s="3329"/>
    </row>
    <row r="188" spans="2:10" ht="36" customHeight="1">
      <c r="B188" s="3330"/>
      <c r="C188" s="3330"/>
      <c r="D188" s="3330"/>
      <c r="E188" s="3330"/>
      <c r="F188" s="3330"/>
      <c r="G188" s="3330"/>
      <c r="H188" s="3330"/>
      <c r="I188" s="3330"/>
      <c r="J188" s="3330"/>
    </row>
    <row r="189" spans="2:10" ht="66.75" customHeight="1">
      <c r="B189" s="3331"/>
      <c r="C189" s="3331"/>
      <c r="D189" s="3331"/>
      <c r="E189" s="3331"/>
      <c r="F189" s="3331"/>
      <c r="G189" s="3331"/>
      <c r="H189" s="3331"/>
      <c r="I189" s="3331"/>
      <c r="J189" s="3331"/>
    </row>
    <row r="190" spans="2:10">
      <c r="B190" s="3328"/>
      <c r="C190" s="3329"/>
      <c r="D190" s="3329"/>
      <c r="E190" s="3329"/>
      <c r="F190" s="3329"/>
      <c r="G190" s="3329"/>
      <c r="H190" s="3329"/>
      <c r="I190" s="3329"/>
      <c r="J190" s="3329"/>
    </row>
    <row r="191" spans="2:10" ht="39.75" customHeight="1">
      <c r="B191" s="3330"/>
      <c r="C191" s="3330"/>
      <c r="D191" s="3330"/>
      <c r="E191" s="3330"/>
      <c r="F191" s="3330"/>
      <c r="G191" s="3330"/>
      <c r="H191" s="3330"/>
      <c r="I191" s="3330"/>
      <c r="J191" s="3330"/>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09765625" defaultRowHeight="15.5"/>
  <cols>
    <col min="1" max="1" width="7.69921875" style="2947" customWidth="1"/>
    <col min="2" max="2" width="6" style="2906" customWidth="1"/>
    <col min="3" max="3" width="8.296875" style="2906" customWidth="1"/>
    <col min="4" max="4" width="10" style="2906" customWidth="1"/>
    <col min="5" max="5" width="13.3984375" style="2906" customWidth="1"/>
    <col min="6" max="11" width="12.09765625" style="2906" customWidth="1"/>
    <col min="12" max="12" width="11.69921875" style="2906" customWidth="1"/>
    <col min="13" max="16" width="12.09765625" style="2906" customWidth="1"/>
    <col min="17" max="17" width="10.3984375" style="2906" customWidth="1"/>
    <col min="18" max="16384" width="9.09765625" style="2906"/>
  </cols>
  <sheetData>
    <row r="1" spans="1:17" ht="16.5" customHeight="1">
      <c r="A1" s="2900"/>
      <c r="B1" s="2901" t="s">
        <v>6698</v>
      </c>
      <c r="C1" s="2901"/>
      <c r="D1" s="2902" t="str">
        <f>Lead!$E$9</f>
        <v>孙健</v>
      </c>
      <c r="E1" s="2903"/>
      <c r="F1" s="2903"/>
      <c r="G1" s="2903"/>
      <c r="H1" s="2903"/>
      <c r="I1" s="2903"/>
      <c r="J1" s="2903"/>
      <c r="K1" s="2903"/>
      <c r="L1" s="2904"/>
      <c r="M1" s="2904"/>
      <c r="N1" s="2904"/>
      <c r="O1" s="2904"/>
      <c r="P1" s="2904"/>
      <c r="Q1" s="2905"/>
    </row>
    <row r="2" spans="1:17" ht="26.15"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6699</v>
      </c>
      <c r="B3" s="2914" t="str">
        <f>Lead!$C$5</f>
        <v>余江县天骏投资管理有限公司</v>
      </c>
      <c r="C3" s="2915"/>
      <c r="D3" s="2915"/>
      <c r="E3" s="2915"/>
      <c r="F3" s="2953"/>
      <c r="G3" s="2953"/>
      <c r="H3" s="2953"/>
      <c r="I3" s="2953"/>
      <c r="J3" s="2953"/>
      <c r="K3" s="2909"/>
      <c r="L3" s="2910"/>
      <c r="M3" s="2910"/>
      <c r="N3" s="2910"/>
      <c r="O3" s="2910"/>
      <c r="P3" s="2916" t="str">
        <f>""&amp;$B$1</f>
        <v>9002B</v>
      </c>
      <c r="Q3" s="2912"/>
    </row>
    <row r="4" spans="1:17">
      <c r="A4" s="2901" t="s">
        <v>6700</v>
      </c>
      <c r="B4" s="2918" t="s">
        <v>6701</v>
      </c>
      <c r="C4" s="2915"/>
      <c r="D4" s="2915"/>
      <c r="E4" s="2915"/>
      <c r="F4" s="2953"/>
      <c r="G4" s="2953"/>
      <c r="H4" s="2953"/>
      <c r="I4" s="2953"/>
      <c r="J4" s="2953"/>
      <c r="K4" s="2909"/>
      <c r="L4" s="2910"/>
      <c r="M4" s="2910"/>
      <c r="N4" s="2910"/>
      <c r="O4" s="2910"/>
      <c r="P4" s="2919" t="str">
        <f>$D$1&amp;" "&amp;IF($A$2="","",TEXT($A$2,"YYYY-M-D"))</f>
        <v>孙健 2020-2-3</v>
      </c>
      <c r="Q4" s="2912"/>
    </row>
    <row r="5" spans="1:17" ht="16"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49" t="s">
        <v>6662</v>
      </c>
      <c r="C7" s="3344" t="s">
        <v>6702</v>
      </c>
      <c r="D7" s="3344" t="s">
        <v>6703</v>
      </c>
      <c r="E7" s="3344" t="s">
        <v>6704</v>
      </c>
      <c r="F7" s="3343" t="s">
        <v>6705</v>
      </c>
      <c r="G7" s="3343"/>
      <c r="H7" s="3343" t="s">
        <v>6706</v>
      </c>
      <c r="I7" s="3343"/>
      <c r="J7" s="3343" t="s">
        <v>6707</v>
      </c>
      <c r="K7" s="3343"/>
      <c r="L7" s="3343" t="s">
        <v>6708</v>
      </c>
      <c r="M7" s="3343"/>
      <c r="N7" s="3344" t="s">
        <v>6709</v>
      </c>
      <c r="O7" s="3346" t="s">
        <v>6710</v>
      </c>
      <c r="P7" s="3347" t="s">
        <v>6711</v>
      </c>
      <c r="Q7" s="2905"/>
    </row>
    <row r="8" spans="1:17" s="2928" customFormat="1" ht="18" customHeight="1">
      <c r="A8" s="2925"/>
      <c r="B8" s="3350"/>
      <c r="C8" s="3345"/>
      <c r="D8" s="3345"/>
      <c r="E8" s="3345"/>
      <c r="F8" s="2955" t="s">
        <v>6712</v>
      </c>
      <c r="G8" s="2955" t="s">
        <v>6713</v>
      </c>
      <c r="H8" s="2955" t="s">
        <v>6712</v>
      </c>
      <c r="I8" s="2955" t="s">
        <v>6713</v>
      </c>
      <c r="J8" s="2955" t="s">
        <v>6712</v>
      </c>
      <c r="K8" s="2955" t="s">
        <v>6713</v>
      </c>
      <c r="L8" s="2955" t="s">
        <v>6712</v>
      </c>
      <c r="M8" s="2955" t="s">
        <v>6713</v>
      </c>
      <c r="N8" s="3345"/>
      <c r="O8" s="3345"/>
      <c r="P8" s="3348"/>
      <c r="Q8" s="2905"/>
    </row>
    <row r="9" spans="1:17" s="2928" customFormat="1" ht="18" customHeight="1">
      <c r="A9" s="2925"/>
      <c r="B9" s="2956" t="s">
        <v>6714</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6715</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6716</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6715</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6717</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6718</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6715</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6719</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6720</v>
      </c>
      <c r="Q34" s="2946"/>
    </row>
    <row r="35" spans="1:17">
      <c r="B35" s="2948" t="s">
        <v>6721</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09765625" defaultRowHeight="15.5"/>
  <cols>
    <col min="1" max="1" width="7.69921875" style="2947" customWidth="1"/>
    <col min="2" max="2" width="9" style="2906" customWidth="1"/>
    <col min="3" max="3" width="18.3984375" style="2906" customWidth="1"/>
    <col min="4" max="4" width="21.296875" style="2906" customWidth="1"/>
    <col min="5" max="5" width="15.8984375" style="2906" customWidth="1"/>
    <col min="6" max="6" width="17.09765625" style="2906" customWidth="1"/>
    <col min="7" max="7" width="12.59765625" style="2906" customWidth="1"/>
    <col min="8" max="8" width="22.59765625" style="2906" customWidth="1"/>
    <col min="9" max="9" width="10.3984375" style="2906" customWidth="1"/>
    <col min="10" max="16384" width="9.09765625" style="2906"/>
  </cols>
  <sheetData>
    <row r="1" spans="1:9" ht="16.5" customHeight="1">
      <c r="A1" s="2900"/>
      <c r="B1" s="2901" t="s">
        <v>6722</v>
      </c>
      <c r="C1" s="2901"/>
      <c r="D1" s="2902" t="str">
        <f>Lead!$E$9</f>
        <v>孙健</v>
      </c>
      <c r="E1" s="2903"/>
      <c r="F1" s="2903"/>
      <c r="G1" s="2904"/>
      <c r="H1" s="2904"/>
      <c r="I1" s="2905"/>
    </row>
    <row r="2" spans="1:9" ht="26.15" customHeight="1">
      <c r="A2" s="2907" t="str">
        <f>TEXT(Lead!$F$9,"yyyy-m-d")</f>
        <v>2020-2-3</v>
      </c>
      <c r="B2" s="2908"/>
      <c r="C2" s="2908"/>
      <c r="D2" s="2908"/>
      <c r="E2" s="2908"/>
      <c r="F2" s="2909"/>
      <c r="G2" s="2910"/>
      <c r="H2" s="2911"/>
      <c r="I2" s="2912"/>
    </row>
    <row r="3" spans="1:9">
      <c r="A3" s="2913" t="s">
        <v>6723</v>
      </c>
      <c r="B3" s="2914" t="str">
        <f>Lead!$C$5</f>
        <v>余江县天骏投资管理有限公司</v>
      </c>
      <c r="C3" s="2915"/>
      <c r="D3" s="2915"/>
      <c r="E3" s="2915"/>
      <c r="F3" s="2909"/>
      <c r="G3" s="2910"/>
      <c r="H3" s="2916" t="str">
        <f>""&amp;$B$1</f>
        <v>9002C</v>
      </c>
      <c r="I3" s="2912"/>
    </row>
    <row r="4" spans="1:9">
      <c r="A4" s="2901" t="s">
        <v>6724</v>
      </c>
      <c r="B4" s="2918" t="s">
        <v>6725</v>
      </c>
      <c r="C4" s="2915"/>
      <c r="D4" s="2915"/>
      <c r="E4" s="2915"/>
      <c r="F4" s="2909"/>
      <c r="G4" s="2910"/>
      <c r="H4" s="2919" t="str">
        <f>$D$1&amp;" "&amp;IF($A$2="","",TEXT($A$2,"YYYY-M-D"))</f>
        <v>孙健 2020-2-3</v>
      </c>
      <c r="I4" s="2912"/>
    </row>
    <row r="5" spans="1:9" ht="16" thickBot="1">
      <c r="A5" s="2907">
        <f>Lead!$E$10</f>
        <v>0</v>
      </c>
      <c r="B5" s="2920" t="str">
        <f>TEXT(Lead!$F$5,"yyyy-m-d")</f>
        <v>2019-12-31</v>
      </c>
      <c r="C5" s="2921"/>
      <c r="D5" s="2921"/>
      <c r="E5" s="2921"/>
      <c r="F5" s="2922"/>
      <c r="G5" s="2923"/>
      <c r="H5" s="2924" t="str">
        <f>$A$5&amp;" "&amp;IF($A$6="","",TEXT($A$6,"YYYY-M-D"))</f>
        <v xml:space="preserve">0 </v>
      </c>
      <c r="I5" s="2912"/>
    </row>
    <row r="6" spans="1:9" ht="16"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6662</v>
      </c>
      <c r="C8" s="2976" t="s">
        <v>6726</v>
      </c>
      <c r="D8" s="2976" t="s">
        <v>6727</v>
      </c>
      <c r="E8" s="2976" t="s">
        <v>6728</v>
      </c>
      <c r="F8" s="2976" t="s">
        <v>6729</v>
      </c>
      <c r="G8" s="2976" t="s">
        <v>6730</v>
      </c>
      <c r="H8" s="2977" t="s">
        <v>6711</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6720</v>
      </c>
      <c r="C26" s="2945"/>
      <c r="D26" s="2945"/>
      <c r="E26" s="2945"/>
      <c r="F26" s="2945"/>
      <c r="G26" s="2945"/>
      <c r="H26" s="2945"/>
      <c r="I26" s="2946"/>
    </row>
    <row r="27" spans="1:9">
      <c r="B27" s="2948" t="s">
        <v>6721</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09765625" defaultRowHeight="15.5"/>
  <cols>
    <col min="1" max="1" width="7.69921875" style="2947" customWidth="1"/>
    <col min="2" max="2" width="9.3984375" style="2906" customWidth="1"/>
    <col min="3" max="3" width="21" style="2906" customWidth="1"/>
    <col min="4" max="4" width="18.09765625" style="2906" customWidth="1"/>
    <col min="5" max="5" width="17.59765625" style="2906" customWidth="1"/>
    <col min="6" max="6" width="3" style="2906" customWidth="1"/>
    <col min="7" max="7" width="18.3984375" style="2906" customWidth="1"/>
    <col min="8" max="8" width="13.296875" style="2906" customWidth="1"/>
    <col min="9" max="9" width="10.3984375" style="2906" customWidth="1"/>
    <col min="10" max="16384" width="9.09765625" style="2906"/>
  </cols>
  <sheetData>
    <row r="1" spans="1:9" ht="16.5" customHeight="1">
      <c r="A1" s="2900"/>
      <c r="B1" s="2901" t="s">
        <v>6731</v>
      </c>
      <c r="C1" s="2901"/>
      <c r="D1" s="2902" t="str">
        <f>Lead!$E$9</f>
        <v>孙健</v>
      </c>
      <c r="E1" s="2903"/>
      <c r="F1" s="2904"/>
      <c r="G1" s="2904"/>
      <c r="H1" s="2904"/>
      <c r="I1" s="2905"/>
    </row>
    <row r="2" spans="1:9" ht="26.15" customHeight="1">
      <c r="A2" s="2907" t="str">
        <f>TEXT(Lead!$F$9,"yyyy-m-d")</f>
        <v>2020-2-3</v>
      </c>
      <c r="B2" s="2908"/>
      <c r="C2" s="2908"/>
      <c r="D2" s="2908"/>
      <c r="E2" s="2908"/>
      <c r="F2" s="2910"/>
      <c r="G2" s="2910"/>
      <c r="H2" s="2911"/>
      <c r="I2" s="2912"/>
    </row>
    <row r="3" spans="1:9">
      <c r="A3" s="2913" t="s">
        <v>6732</v>
      </c>
      <c r="B3" s="2914" t="str">
        <f>Lead!$C$5</f>
        <v>余江县天骏投资管理有限公司</v>
      </c>
      <c r="C3" s="2915"/>
      <c r="D3" s="2915"/>
      <c r="E3" s="2908"/>
      <c r="F3" s="2910"/>
      <c r="G3" s="2910"/>
      <c r="H3" s="2916" t="str">
        <f>""&amp;$B$1</f>
        <v>9000B</v>
      </c>
      <c r="I3" s="2912"/>
    </row>
    <row r="4" spans="1:9">
      <c r="A4" s="2901" t="s">
        <v>6733</v>
      </c>
      <c r="B4" s="2918" t="s">
        <v>6734</v>
      </c>
      <c r="C4" s="2915"/>
      <c r="D4" s="2915"/>
      <c r="E4" s="2908"/>
      <c r="F4" s="2910"/>
      <c r="G4" s="2910"/>
      <c r="H4" s="2919" t="str">
        <f>$D$1&amp;" "&amp;IF($A$2="","",TEXT($A$2,"YYYY-M-D"))</f>
        <v>孙健 2020-2-3</v>
      </c>
      <c r="I4" s="2912"/>
    </row>
    <row r="5" spans="1:9" ht="16" thickBot="1">
      <c r="A5" s="2907">
        <f>Lead!$E$10</f>
        <v>0</v>
      </c>
      <c r="B5" s="2920" t="str">
        <f>TEXT(Lead!$F$5,"yyyy-m-d")</f>
        <v>2019-12-31</v>
      </c>
      <c r="C5" s="2921"/>
      <c r="D5" s="2921"/>
      <c r="E5" s="2987"/>
      <c r="F5" s="2923"/>
      <c r="G5" s="2923"/>
      <c r="H5" s="2924" t="str">
        <f>$A$5&amp;" "&amp;IF($A$6="","",TEXT($A$6,"YYYY-M-D"))</f>
        <v xml:space="preserve">0 </v>
      </c>
      <c r="I5" s="2912"/>
    </row>
    <row r="6" spans="1:9" ht="16" thickTop="1">
      <c r="A6" s="2907" t="str">
        <f>IF(Lead!$F$10="","",TEXT(Lead!$F$10,"yyyy-m-d"))</f>
        <v/>
      </c>
      <c r="B6" s="2908"/>
      <c r="C6" s="2915"/>
      <c r="D6" s="2915"/>
      <c r="E6" s="2908"/>
      <c r="F6" s="2910"/>
      <c r="G6" s="2910"/>
      <c r="H6" s="2915"/>
      <c r="I6" s="2912"/>
    </row>
    <row r="7" spans="1:9" s="2928" customFormat="1" ht="20.25" customHeight="1">
      <c r="A7" s="2925"/>
      <c r="B7" s="2988" t="s">
        <v>6735</v>
      </c>
      <c r="C7" s="2989"/>
      <c r="D7" s="2990"/>
      <c r="E7" s="2990"/>
      <c r="F7" s="2990"/>
      <c r="G7" s="2990"/>
      <c r="H7" s="2927"/>
      <c r="I7" s="2905"/>
    </row>
    <row r="8" spans="1:9" s="2928" customFormat="1" ht="42" customHeight="1">
      <c r="A8" s="2925"/>
      <c r="B8" s="2991" t="s">
        <v>2650</v>
      </c>
      <c r="C8" s="2992" t="s">
        <v>6736</v>
      </c>
      <c r="D8" s="2992" t="s">
        <v>6737</v>
      </c>
      <c r="E8" s="3357" t="s">
        <v>6738</v>
      </c>
      <c r="F8" s="3358"/>
      <c r="G8" s="2992" t="s">
        <v>6739</v>
      </c>
      <c r="H8" s="2993" t="s">
        <v>6176</v>
      </c>
      <c r="I8" s="2905"/>
    </row>
    <row r="9" spans="1:9" s="2928" customFormat="1" ht="21" customHeight="1">
      <c r="A9" s="2925"/>
      <c r="B9" s="2994"/>
      <c r="C9" s="2995"/>
      <c r="D9" s="2996"/>
      <c r="E9" s="3351"/>
      <c r="F9" s="3352"/>
      <c r="G9" s="2997"/>
      <c r="H9" s="2998"/>
      <c r="I9" s="2905"/>
    </row>
    <row r="10" spans="1:9" s="2928" customFormat="1" ht="20.25" customHeight="1">
      <c r="A10" s="2925"/>
      <c r="B10" s="2999"/>
      <c r="C10" s="3000"/>
      <c r="D10" s="3000"/>
      <c r="E10" s="3353"/>
      <c r="F10" s="3354"/>
      <c r="G10" s="3001"/>
      <c r="H10" s="3002"/>
      <c r="I10" s="2905"/>
    </row>
    <row r="11" spans="1:9" s="2928" customFormat="1" ht="20.25" customHeight="1">
      <c r="A11" s="2925"/>
      <c r="B11" s="2999"/>
      <c r="C11" s="3000"/>
      <c r="D11" s="3000"/>
      <c r="E11" s="3353"/>
      <c r="F11" s="3354"/>
      <c r="G11" s="3001"/>
      <c r="H11" s="3002"/>
      <c r="I11" s="2905"/>
    </row>
    <row r="12" spans="1:9" s="2928" customFormat="1" ht="20.25" customHeight="1">
      <c r="A12" s="2925"/>
      <c r="B12" s="3003"/>
      <c r="C12" s="3004"/>
      <c r="D12" s="3004"/>
      <c r="E12" s="3355"/>
      <c r="F12" s="3356"/>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6740</v>
      </c>
      <c r="C14" s="3007"/>
      <c r="D14" s="3008"/>
      <c r="E14" s="3008"/>
      <c r="F14" s="3008"/>
      <c r="G14" s="3009"/>
      <c r="H14" s="2927"/>
      <c r="I14" s="2905"/>
    </row>
    <row r="15" spans="1:9" s="2928" customFormat="1" ht="45" customHeight="1">
      <c r="A15" s="2925"/>
      <c r="B15" s="2991" t="s">
        <v>2650</v>
      </c>
      <c r="C15" s="2992" t="s">
        <v>6736</v>
      </c>
      <c r="D15" s="2992" t="s">
        <v>6737</v>
      </c>
      <c r="E15" s="3357" t="s">
        <v>6738</v>
      </c>
      <c r="F15" s="3358"/>
      <c r="G15" s="2992" t="s">
        <v>6739</v>
      </c>
      <c r="H15" s="2993" t="s">
        <v>6176</v>
      </c>
      <c r="I15" s="2905"/>
    </row>
    <row r="16" spans="1:9" s="2928" customFormat="1" ht="20.25" customHeight="1">
      <c r="A16" s="2925"/>
      <c r="B16" s="2994"/>
      <c r="C16" s="2995"/>
      <c r="D16" s="2996"/>
      <c r="E16" s="3351"/>
      <c r="F16" s="3352"/>
      <c r="G16" s="2997"/>
      <c r="H16" s="2998"/>
      <c r="I16" s="2905"/>
    </row>
    <row r="17" spans="1:9" s="2928" customFormat="1" ht="20.25" customHeight="1">
      <c r="A17" s="2925"/>
      <c r="B17" s="2999"/>
      <c r="C17" s="3000"/>
      <c r="D17" s="3000"/>
      <c r="E17" s="3353"/>
      <c r="F17" s="3354"/>
      <c r="G17" s="3001"/>
      <c r="H17" s="3002"/>
      <c r="I17" s="2905"/>
    </row>
    <row r="18" spans="1:9" s="2928" customFormat="1" ht="20.25" customHeight="1">
      <c r="A18" s="2925"/>
      <c r="B18" s="2999"/>
      <c r="C18" s="3000"/>
      <c r="D18" s="3000"/>
      <c r="E18" s="3353"/>
      <c r="F18" s="3354"/>
      <c r="G18" s="3001"/>
      <c r="H18" s="3002"/>
      <c r="I18" s="2905"/>
    </row>
    <row r="19" spans="1:9" s="2928" customFormat="1" ht="20.25" customHeight="1">
      <c r="A19" s="2925"/>
      <c r="B19" s="3003"/>
      <c r="C19" s="3004"/>
      <c r="D19" s="3004"/>
      <c r="E19" s="3355"/>
      <c r="F19" s="3356"/>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6741</v>
      </c>
      <c r="C21" s="2990"/>
      <c r="D21" s="2990"/>
      <c r="E21" s="2990"/>
      <c r="F21" s="2990"/>
      <c r="G21" s="2990"/>
      <c r="H21" s="2927"/>
      <c r="I21" s="2905"/>
    </row>
    <row r="22" spans="1:9" s="2928" customFormat="1" ht="20.25" customHeight="1">
      <c r="A22" s="2925"/>
      <c r="B22" s="3011" t="s">
        <v>6742</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6743</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6744</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6745</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6720</v>
      </c>
      <c r="C39" s="2945"/>
      <c r="D39" s="2945"/>
      <c r="E39" s="2945"/>
      <c r="F39" s="2945"/>
      <c r="G39" s="2945"/>
      <c r="H39" s="2945"/>
      <c r="I39" s="2946"/>
    </row>
    <row r="40" spans="1:9">
      <c r="B40" s="2948" t="s">
        <v>6721</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09765625" defaultRowHeight="15.5"/>
  <cols>
    <col min="1" max="1" width="7.69921875" style="2947" customWidth="1"/>
    <col min="2" max="2" width="16.09765625" style="2906" customWidth="1"/>
    <col min="3" max="3" width="10.59765625" style="2906" customWidth="1"/>
    <col min="4" max="11" width="15.69921875" style="2906" customWidth="1"/>
    <col min="12" max="12" width="19.8984375" style="2906" customWidth="1"/>
    <col min="13" max="16384" width="9.09765625" style="2906"/>
  </cols>
  <sheetData>
    <row r="1" spans="1:12" ht="16.5" customHeight="1">
      <c r="A1" s="2900"/>
      <c r="B1" s="2901" t="s">
        <v>6746</v>
      </c>
      <c r="C1" s="2901"/>
      <c r="D1" s="2902" t="str">
        <f>Lead!$E$9</f>
        <v>孙健</v>
      </c>
      <c r="E1" s="2903"/>
      <c r="F1" s="2903"/>
      <c r="G1" s="2903"/>
      <c r="H1" s="2903"/>
      <c r="I1" s="2904"/>
      <c r="J1" s="2904"/>
      <c r="K1" s="2904"/>
      <c r="L1" s="2905"/>
    </row>
    <row r="2" spans="1:12" ht="26.15" customHeight="1">
      <c r="A2" s="2907" t="str">
        <f>TEXT(Lead!$F$9,"yyyy-m-d")</f>
        <v>2020-2-3</v>
      </c>
      <c r="B2" s="2908"/>
      <c r="C2" s="2908"/>
      <c r="D2" s="2908"/>
      <c r="E2" s="2908"/>
      <c r="F2" s="2909"/>
      <c r="G2" s="2909"/>
      <c r="H2" s="2909"/>
      <c r="I2" s="2910"/>
      <c r="J2" s="2910"/>
      <c r="K2" s="2911"/>
      <c r="L2" s="2912"/>
    </row>
    <row r="3" spans="1:12">
      <c r="A3" s="2913" t="s">
        <v>6747</v>
      </c>
      <c r="B3" s="2914" t="str">
        <f>Lead!$C$5</f>
        <v>余江县天骏投资管理有限公司</v>
      </c>
      <c r="C3" s="2915"/>
      <c r="D3" s="2915"/>
      <c r="E3" s="2915"/>
      <c r="F3" s="2953"/>
      <c r="G3" s="2953"/>
      <c r="H3" s="2909"/>
      <c r="I3" s="2910"/>
      <c r="J3" s="2910"/>
      <c r="K3" s="2916" t="str">
        <f>""&amp;$B$1</f>
        <v>9000C</v>
      </c>
      <c r="L3" s="2912"/>
    </row>
    <row r="4" spans="1:12">
      <c r="A4" s="2917" t="s">
        <v>6748</v>
      </c>
      <c r="B4" s="2918" t="s">
        <v>6749</v>
      </c>
      <c r="C4" s="2915"/>
      <c r="D4" s="2915"/>
      <c r="E4" s="2915"/>
      <c r="F4" s="2953"/>
      <c r="G4" s="2953"/>
      <c r="H4" s="2909"/>
      <c r="I4" s="2910"/>
      <c r="J4" s="2910"/>
      <c r="K4" s="2919" t="str">
        <f>$D$1&amp;" "&amp;IF($A$2="","",TEXT($A$2,"YYYY-M-D"))</f>
        <v>孙健 2020-2-3</v>
      </c>
      <c r="L4" s="2912"/>
    </row>
    <row r="5" spans="1:12" ht="16"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6750</v>
      </c>
      <c r="C7" s="2926"/>
      <c r="D7" s="2926"/>
      <c r="E7" s="2926"/>
      <c r="F7" s="2926"/>
      <c r="G7" s="2926"/>
      <c r="H7" s="2926"/>
      <c r="I7" s="2927"/>
      <c r="J7" s="2927"/>
      <c r="K7" s="2927"/>
      <c r="L7" s="2905"/>
    </row>
    <row r="8" spans="1:12" s="2928" customFormat="1" ht="20.25" customHeight="1">
      <c r="A8" s="2925"/>
      <c r="B8" s="3013" t="s">
        <v>6751</v>
      </c>
      <c r="C8" s="2926"/>
      <c r="D8" s="2926"/>
      <c r="E8" s="2926"/>
      <c r="F8" s="2926"/>
      <c r="G8" s="2926"/>
      <c r="H8" s="2926"/>
      <c r="I8" s="2927"/>
      <c r="J8" s="2927"/>
      <c r="K8" s="2927"/>
      <c r="L8" s="2905"/>
    </row>
    <row r="9" spans="1:12" s="2928" customFormat="1" ht="20.25" customHeight="1">
      <c r="A9" s="2925"/>
      <c r="B9" s="3014"/>
      <c r="C9" s="3015"/>
      <c r="D9" s="3359" t="s">
        <v>2887</v>
      </c>
      <c r="E9" s="3359"/>
      <c r="F9" s="3359"/>
      <c r="G9" s="3359"/>
      <c r="H9" s="3359"/>
      <c r="I9" s="3359"/>
      <c r="J9" s="3359"/>
      <c r="K9" s="3360"/>
      <c r="L9" s="2905"/>
    </row>
    <row r="10" spans="1:12" s="2928" customFormat="1" ht="20.25" customHeight="1">
      <c r="A10" s="2925"/>
      <c r="B10" s="3016" t="s">
        <v>6752</v>
      </c>
      <c r="C10" s="3017" t="s">
        <v>6753</v>
      </c>
      <c r="D10" s="3017" t="s">
        <v>6754</v>
      </c>
      <c r="E10" s="3017" t="s">
        <v>6755</v>
      </c>
      <c r="F10" s="3017" t="s">
        <v>6756</v>
      </c>
      <c r="G10" s="3017" t="s">
        <v>6757</v>
      </c>
      <c r="H10" s="3017" t="s">
        <v>6758</v>
      </c>
      <c r="I10" s="3017" t="s">
        <v>6759</v>
      </c>
      <c r="J10" s="3017" t="s">
        <v>6760</v>
      </c>
      <c r="K10" s="3018" t="s">
        <v>6761</v>
      </c>
      <c r="L10" s="2905"/>
    </row>
    <row r="11" spans="1:12" s="2928" customFormat="1" ht="20.25" customHeight="1">
      <c r="A11" s="2925"/>
      <c r="B11" s="3016" t="s">
        <v>6762</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6763</v>
      </c>
      <c r="C12" s="3019"/>
      <c r="D12" s="3020">
        <f>SUMIF(AJE!$R$9:$R$38,"1",AJE!$O$9:$O$38)</f>
        <v>0</v>
      </c>
      <c r="E12" s="3020">
        <f>SUMIF(AJE!$R$9:$R$38,"1",AJE!$P$9:$P$38)</f>
        <v>0</v>
      </c>
      <c r="F12" s="3020">
        <f>SUMIF(AJE!$R$9:$R$38,"2",AJE!$O$9:$O$38)</f>
        <v>0</v>
      </c>
      <c r="G12" s="3020">
        <f>SUMIF(AJE!$R$9:$R$38,"2",AJE!$P$9:$P$38)</f>
        <v>0</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
      </c>
    </row>
    <row r="13" spans="1:12" s="2928" customFormat="1" ht="20.25" customHeight="1">
      <c r="A13" s="2925"/>
      <c r="B13" s="3023" t="s">
        <v>6764</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6765</v>
      </c>
      <c r="C14" s="2926"/>
      <c r="D14" s="3027"/>
      <c r="E14" s="2926"/>
      <c r="F14" s="3027"/>
      <c r="G14" s="2926"/>
      <c r="H14" s="2926"/>
      <c r="I14" s="2927"/>
      <c r="J14" s="2927"/>
      <c r="K14" s="2927"/>
      <c r="L14" s="2905"/>
    </row>
    <row r="15" spans="1:12" s="2928" customFormat="1" ht="20.25" customHeight="1">
      <c r="A15" s="2925"/>
      <c r="B15" s="3013" t="s">
        <v>6766</v>
      </c>
      <c r="C15" s="2926"/>
      <c r="D15" s="2926"/>
      <c r="E15" s="2926"/>
      <c r="F15" s="2926"/>
      <c r="G15" s="3028" t="s">
        <v>6767</v>
      </c>
      <c r="H15" s="2926"/>
      <c r="I15" s="2927"/>
      <c r="J15" s="2927"/>
      <c r="K15" s="2927"/>
      <c r="L15" s="2905"/>
    </row>
    <row r="16" spans="1:12" s="2928" customFormat="1" ht="42.75" customHeight="1">
      <c r="A16" s="2925"/>
      <c r="B16" s="3361" t="s">
        <v>6768</v>
      </c>
      <c r="C16" s="3362"/>
      <c r="D16" s="3362"/>
      <c r="E16" s="3362"/>
      <c r="F16" s="3362"/>
      <c r="G16" s="3362"/>
      <c r="H16" s="3362"/>
      <c r="I16" s="3362"/>
      <c r="J16" s="3362"/>
      <c r="K16" s="3362"/>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6769</v>
      </c>
      <c r="C18" s="3034"/>
      <c r="D18" s="3034"/>
      <c r="E18" s="3034"/>
      <c r="F18" s="3034"/>
      <c r="G18" s="3034"/>
      <c r="H18" s="3034"/>
      <c r="I18" s="3035"/>
      <c r="J18" s="3035"/>
      <c r="K18" s="3036"/>
      <c r="L18" s="2905"/>
    </row>
    <row r="19" spans="1:12" s="2928" customFormat="1" ht="20.25" customHeight="1">
      <c r="A19" s="2925"/>
      <c r="B19" s="3012" t="s">
        <v>6770</v>
      </c>
      <c r="C19" s="2926"/>
      <c r="D19" s="2926"/>
      <c r="E19" s="2926"/>
      <c r="F19" s="2926"/>
      <c r="G19" s="2926"/>
      <c r="H19" s="2926"/>
      <c r="I19" s="2927"/>
      <c r="J19" s="2927"/>
      <c r="K19" s="2927"/>
      <c r="L19" s="2905"/>
    </row>
    <row r="20" spans="1:12" s="2928" customFormat="1" ht="20.25" customHeight="1">
      <c r="A20" s="2925"/>
      <c r="B20" s="3013" t="s">
        <v>6771</v>
      </c>
      <c r="C20" s="2926"/>
      <c r="D20" s="2926"/>
      <c r="E20" s="2926"/>
      <c r="F20" s="2926"/>
      <c r="G20" s="2926"/>
      <c r="H20" s="2926"/>
      <c r="I20" s="2927"/>
      <c r="J20" s="2927"/>
      <c r="K20" s="2927"/>
      <c r="L20" s="2905"/>
    </row>
    <row r="21" spans="1:12" s="2928" customFormat="1" ht="20.25" customHeight="1">
      <c r="A21" s="2925"/>
      <c r="B21" s="2926" t="s">
        <v>6772</v>
      </c>
      <c r="C21" s="2926"/>
      <c r="D21" s="2926"/>
      <c r="E21" s="2926"/>
      <c r="F21" s="3037" t="s">
        <v>2887</v>
      </c>
      <c r="G21" s="2926"/>
      <c r="H21" s="2926"/>
      <c r="I21" s="2927"/>
      <c r="J21" s="2927"/>
      <c r="K21" s="2927"/>
      <c r="L21" s="2905"/>
    </row>
    <row r="22" spans="1:12" s="2928" customFormat="1" ht="20.25" customHeight="1">
      <c r="A22" s="2925"/>
      <c r="B22" s="2926" t="s">
        <v>6773</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6774</v>
      </c>
      <c r="C24" s="3028"/>
      <c r="D24" s="3028"/>
      <c r="E24" s="3028"/>
      <c r="F24" s="3028"/>
      <c r="G24" s="2926"/>
      <c r="H24" s="2926"/>
      <c r="I24" s="2927"/>
      <c r="J24" s="2927"/>
      <c r="K24" s="3039"/>
      <c r="L24" s="2905"/>
    </row>
    <row r="25" spans="1:12" s="2928" customFormat="1" ht="20.25" customHeight="1">
      <c r="A25" s="2925"/>
      <c r="B25" s="3033" t="s">
        <v>6775</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6776</v>
      </c>
      <c r="C27" s="2926"/>
      <c r="D27" s="2926"/>
      <c r="E27" s="2926"/>
      <c r="F27" s="2926"/>
      <c r="G27" s="2926"/>
      <c r="H27" s="2926"/>
      <c r="I27" s="2927"/>
      <c r="J27" s="2927"/>
      <c r="K27" s="2927"/>
      <c r="L27" s="2905"/>
    </row>
    <row r="28" spans="1:12" s="2928" customFormat="1" ht="20.25" customHeight="1">
      <c r="A28" s="2925"/>
      <c r="B28" s="2926" t="s">
        <v>6777</v>
      </c>
      <c r="C28" s="2926"/>
      <c r="D28" s="2926"/>
      <c r="E28" s="2926"/>
      <c r="F28" s="3037" t="s">
        <v>2887</v>
      </c>
      <c r="G28" s="2926"/>
      <c r="H28" s="2926"/>
      <c r="I28" s="2927"/>
      <c r="J28" s="2927"/>
      <c r="K28" s="2927"/>
      <c r="L28" s="2905"/>
    </row>
    <row r="29" spans="1:12" s="2928" customFormat="1" ht="20.25" customHeight="1">
      <c r="A29" s="2925"/>
      <c r="B29" s="2926" t="s">
        <v>6778</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6779</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6720</v>
      </c>
      <c r="C34" s="2945"/>
      <c r="D34" s="2945"/>
      <c r="E34" s="2945"/>
      <c r="F34" s="2945"/>
      <c r="G34" s="2945"/>
      <c r="H34" s="2945"/>
      <c r="I34" s="2945"/>
      <c r="J34" s="2945"/>
      <c r="K34" s="2945"/>
      <c r="L34" s="2946"/>
    </row>
    <row r="35" spans="1:12">
      <c r="B35" s="2948" t="s">
        <v>6721</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09765625" defaultRowHeight="15.5"/>
  <cols>
    <col min="1" max="1" width="7.69921875" style="2947" customWidth="1"/>
    <col min="2" max="2" width="6" style="2906" customWidth="1"/>
    <col min="3" max="3" width="13.09765625" style="2906" customWidth="1"/>
    <col min="4" max="4" width="14.8984375" style="2906" customWidth="1"/>
    <col min="5" max="8" width="11.09765625" style="2906" customWidth="1"/>
    <col min="9" max="11" width="9.8984375" style="2906" customWidth="1"/>
    <col min="12" max="12" width="10.3984375" style="2906" customWidth="1"/>
    <col min="13" max="16384" width="9.09765625" style="2906"/>
  </cols>
  <sheetData>
    <row r="1" spans="1:12" ht="16.5" customHeight="1">
      <c r="A1" s="2900"/>
      <c r="B1" s="2901" t="s">
        <v>6780</v>
      </c>
      <c r="C1" s="2901"/>
      <c r="D1" s="2902" t="str">
        <f>Lead!$E$9</f>
        <v>孙健</v>
      </c>
      <c r="E1" s="2903"/>
      <c r="F1" s="2903"/>
      <c r="G1" s="2903"/>
      <c r="H1" s="2903"/>
      <c r="I1" s="2904"/>
      <c r="J1" s="2904"/>
      <c r="K1" s="2904"/>
      <c r="L1" s="2905"/>
    </row>
    <row r="2" spans="1:12" ht="26.15" customHeight="1">
      <c r="A2" s="2907" t="str">
        <f>TEXT(Lead!$F$9,"yyyy-m-d")</f>
        <v>2020-2-3</v>
      </c>
      <c r="B2" s="2908"/>
      <c r="C2" s="2908"/>
      <c r="D2" s="2908"/>
      <c r="E2" s="2908"/>
      <c r="F2" s="2909"/>
      <c r="G2" s="2909"/>
      <c r="H2" s="2909"/>
      <c r="I2" s="2910"/>
      <c r="J2" s="2910"/>
      <c r="K2" s="2911"/>
      <c r="L2" s="2912"/>
    </row>
    <row r="3" spans="1:12">
      <c r="A3" s="2913" t="s">
        <v>6781</v>
      </c>
      <c r="B3" s="2914" t="str">
        <f>Lead!$C$5</f>
        <v>余江县天骏投资管理有限公司</v>
      </c>
      <c r="C3" s="2915"/>
      <c r="D3" s="2915"/>
      <c r="E3" s="2915"/>
      <c r="F3" s="2953"/>
      <c r="G3" s="2953"/>
      <c r="H3" s="2909"/>
      <c r="I3" s="2910"/>
      <c r="J3" s="2910"/>
      <c r="K3" s="2916" t="str">
        <f>""&amp;$B$1</f>
        <v>9000D</v>
      </c>
      <c r="L3" s="2912"/>
    </row>
    <row r="4" spans="1:12">
      <c r="A4" s="2901" t="s">
        <v>6782</v>
      </c>
      <c r="B4" s="2918" t="s">
        <v>6783</v>
      </c>
      <c r="C4" s="2915"/>
      <c r="D4" s="2915"/>
      <c r="E4" s="2915"/>
      <c r="F4" s="2953"/>
      <c r="G4" s="2953"/>
      <c r="H4" s="2909"/>
      <c r="I4" s="2910"/>
      <c r="J4" s="2910"/>
      <c r="K4" s="2919" t="str">
        <f>$D$1&amp;" "&amp;IF($A$2="","",TEXT($A$2,"YYYY-M-D"))</f>
        <v>孙健 2020-2-3</v>
      </c>
      <c r="L4" s="2912"/>
    </row>
    <row r="5" spans="1:12" ht="16"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6784</v>
      </c>
      <c r="C7" s="2926"/>
      <c r="D7" s="2926"/>
      <c r="E7" s="2926"/>
      <c r="F7" s="2926"/>
      <c r="G7" s="2926"/>
      <c r="H7" s="2926"/>
      <c r="I7" s="2927"/>
      <c r="J7" s="2927"/>
      <c r="K7" s="2927"/>
      <c r="L7" s="2905"/>
    </row>
    <row r="8" spans="1:12" s="2928" customFormat="1" ht="20.25" customHeight="1">
      <c r="A8" s="2925"/>
      <c r="B8" s="2926"/>
      <c r="C8" s="3014" t="s">
        <v>6785</v>
      </c>
      <c r="D8" s="3041"/>
      <c r="E8" s="3041"/>
      <c r="F8" s="3041"/>
      <c r="G8" s="3041"/>
      <c r="H8" s="3041"/>
      <c r="I8" s="3042"/>
      <c r="J8" s="3042"/>
      <c r="K8" s="3042"/>
      <c r="L8" s="2905"/>
    </row>
    <row r="9" spans="1:12" s="2928" customFormat="1" ht="20.25" customHeight="1">
      <c r="A9" s="2925"/>
      <c r="B9" s="2926"/>
      <c r="C9" s="3043" t="s">
        <v>6786</v>
      </c>
      <c r="D9" s="3044"/>
      <c r="E9" s="3044"/>
      <c r="F9" s="3044"/>
      <c r="G9" s="3044"/>
      <c r="H9" s="3044"/>
      <c r="I9" s="3045"/>
      <c r="J9" s="3045"/>
      <c r="K9" s="3045"/>
      <c r="L9" s="2905"/>
    </row>
    <row r="10" spans="1:12" s="2928" customFormat="1" ht="20.25" customHeight="1">
      <c r="A10" s="2925"/>
      <c r="B10" s="2926"/>
      <c r="C10" s="3043" t="s">
        <v>6787</v>
      </c>
      <c r="D10" s="3044"/>
      <c r="E10" s="3044"/>
      <c r="F10" s="3044"/>
      <c r="G10" s="3044"/>
      <c r="H10" s="3044"/>
      <c r="I10" s="3045"/>
      <c r="J10" s="3045"/>
      <c r="K10" s="3045"/>
      <c r="L10" s="2905"/>
    </row>
    <row r="11" spans="1:12" s="2928" customFormat="1" ht="20.25" customHeight="1">
      <c r="A11" s="2925"/>
      <c r="B11" s="2926"/>
      <c r="C11" s="3046" t="s">
        <v>6788</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6789</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6790</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6791</v>
      </c>
      <c r="C23" s="2926"/>
      <c r="D23" s="2926"/>
      <c r="E23" s="2926"/>
      <c r="F23" s="2926"/>
      <c r="G23" s="2926"/>
      <c r="H23" s="2926"/>
      <c r="I23" s="2927"/>
      <c r="J23" s="2927"/>
      <c r="K23" s="2927"/>
      <c r="L23" s="2905"/>
    </row>
    <row r="24" spans="1:12" s="2928" customFormat="1" ht="20.25" customHeight="1">
      <c r="A24" s="2925"/>
      <c r="B24" s="3052"/>
      <c r="C24" s="3014" t="s">
        <v>6785</v>
      </c>
      <c r="D24" s="3041"/>
      <c r="E24" s="3041"/>
      <c r="F24" s="3041"/>
      <c r="G24" s="3041"/>
      <c r="H24" s="3041"/>
      <c r="I24" s="3042"/>
      <c r="J24" s="3042"/>
      <c r="K24" s="3042"/>
      <c r="L24" s="2905"/>
    </row>
    <row r="25" spans="1:12" s="2928" customFormat="1" ht="20.25" customHeight="1">
      <c r="A25" s="2925"/>
      <c r="B25" s="3052"/>
      <c r="C25" s="3043" t="s">
        <v>6792</v>
      </c>
      <c r="D25" s="3044"/>
      <c r="E25" s="3044"/>
      <c r="F25" s="3044"/>
      <c r="G25" s="3044"/>
      <c r="H25" s="3044"/>
      <c r="I25" s="3045"/>
      <c r="J25" s="3045"/>
      <c r="K25" s="3045"/>
      <c r="L25" s="2905"/>
    </row>
    <row r="26" spans="1:12" s="2928" customFormat="1" ht="20.25" customHeight="1">
      <c r="A26" s="2925"/>
      <c r="B26" s="3052"/>
      <c r="C26" s="3043" t="s">
        <v>6787</v>
      </c>
      <c r="D26" s="3044"/>
      <c r="E26" s="3044"/>
      <c r="F26" s="3044"/>
      <c r="G26" s="3044"/>
      <c r="H26" s="3044"/>
      <c r="I26" s="3045"/>
      <c r="J26" s="3045"/>
      <c r="K26" s="3045"/>
      <c r="L26" s="2905"/>
    </row>
    <row r="27" spans="1:12" s="2928" customFormat="1" ht="20.25" customHeight="1">
      <c r="A27" s="2925"/>
      <c r="B27" s="3052"/>
      <c r="C27" s="3046" t="s">
        <v>6788</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6793</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6794</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6720</v>
      </c>
      <c r="C42" s="2945"/>
      <c r="D42" s="2945"/>
      <c r="E42" s="2945"/>
      <c r="F42" s="2945"/>
      <c r="G42" s="2945"/>
      <c r="H42" s="2945"/>
      <c r="I42" s="2945"/>
      <c r="J42" s="2945"/>
      <c r="K42" s="2945"/>
      <c r="L42" s="2946"/>
    </row>
    <row r="43" spans="1:12">
      <c r="B43" s="2948" t="s">
        <v>6721</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Checks</vt:lpstr>
      <vt:lpstr>preBS</vt:lpstr>
      <vt:lpstr>preIS</vt:lpstr>
      <vt:lpstr>preCF</vt:lpstr>
      <vt:lpstr>preCE</vt:lpstr>
      <vt:lpstr>BS</vt:lpstr>
      <vt:lpstr>IS</vt:lpstr>
      <vt:lpstr>CF</vt:lpstr>
      <vt:lpstr>CE</vt:lpstr>
      <vt:lpstr>TB</vt:lpstr>
      <vt:lpstr>AJE</vt:lpstr>
      <vt:lpstr>CFJE</vt:lpstr>
      <vt:lpstr>UJE</vt:lpstr>
      <vt:lpstr>AJE1</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周思莹</cp:lastModifiedBy>
  <cp:lastPrinted>2019-12-30T11:37:13Z</cp:lastPrinted>
  <dcterms:created xsi:type="dcterms:W3CDTF">2010-02-17T01:24:00Z</dcterms:created>
  <dcterms:modified xsi:type="dcterms:W3CDTF">2020-03-12T14:27:55Z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