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ccaul/Projects/cost/amazon-dynamodb-tools/Excel/"/>
    </mc:Choice>
  </mc:AlternateContent>
  <xr:revisionPtr revIDLastSave="0" documentId="8_{7A5D268E-5257-CB4D-89F3-240A0D5E53B6}" xr6:coauthVersionLast="47" xr6:coauthVersionMax="47" xr10:uidLastSave="{00000000-0000-0000-0000-000000000000}"/>
  <bookViews>
    <workbookView xWindow="0" yWindow="500" windowWidth="28800" windowHeight="16160" xr2:uid="{8F366F91-9D43-B54C-80F1-BE22DE501760}"/>
  </bookViews>
  <sheets>
    <sheet name="CostSheet" sheetId="5" r:id="rId1"/>
    <sheet name="Table Class Calc (Cost Unknown)" sheetId="2" r:id="rId2"/>
    <sheet name="Table Class Calc(Cost Known)" sheetId="6" r:id="rId3"/>
    <sheet name="Data" sheetId="3" state="hidden" r:id="rId4"/>
    <sheet name="List" sheetId="4" state="hidden" r:id="rId5"/>
  </sheets>
  <definedNames>
    <definedName name="GT">CostSheet!$C$12</definedName>
    <definedName name="GTStorage">CostSheet!$E$12</definedName>
    <definedName name="GTWrites">CostSheet!$F$12</definedName>
    <definedName name="Hours">CostSheet!$E$10</definedName>
    <definedName name="OnDemandRcuPrice">CostSheet!$C$4</definedName>
    <definedName name="OnDemandWcuPrice">CostSheet!$D$4</definedName>
    <definedName name="ProvisionedPricePerReadUnitHourly">CostSheet!$C$5</definedName>
    <definedName name="ProvisionedPricePerWriteUnitHourly">CostSheet!$D$5</definedName>
    <definedName name="ProvisioningEfficiency">CostSheet!$C$11</definedName>
    <definedName name="StorageCostPerGbHour">CostSheet!$E$7</definedName>
    <definedName name="TimeUnit">CostSheet!$C$9</definedName>
    <definedName name="TimeUnitQty">CostSheet!$C$10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2" i="5" l="1"/>
  <c r="E12" i="5"/>
  <c r="C4" i="5"/>
  <c r="D4" i="5"/>
  <c r="E21" i="6"/>
  <c r="C21" i="6"/>
  <c r="B21" i="6"/>
  <c r="A21" i="6"/>
  <c r="D19" i="6"/>
  <c r="B19" i="6"/>
  <c r="D18" i="6"/>
  <c r="D17" i="6"/>
  <c r="E9" i="6"/>
  <c r="C9" i="6"/>
  <c r="B9" i="6"/>
  <c r="A9" i="6"/>
  <c r="B7" i="6"/>
  <c r="D6" i="6"/>
  <c r="D5" i="6"/>
  <c r="D7" i="6" l="1"/>
  <c r="D9" i="6"/>
  <c r="D21" i="6"/>
  <c r="E14" i="5" l="1"/>
  <c r="E10" i="5"/>
  <c r="G18" i="5" l="1"/>
  <c r="E16" i="5"/>
  <c r="F16" i="5"/>
  <c r="E17" i="5"/>
  <c r="F17" i="5"/>
  <c r="O33"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scheme val="minor"/>
          </rPr>
          <t>Provisiond Capacity:</t>
        </r>
        <r>
          <rPr>
            <sz val="14"/>
            <color rgb="FF000000"/>
            <rFont val="Calibri"/>
            <family val="2"/>
            <scheme val="minor"/>
          </rPr>
          <t xml:space="preserve">
</t>
        </r>
        <r>
          <rPr>
            <sz val="14"/>
            <color rgb="FF000000"/>
            <rFont val="Calibri"/>
            <family val="2"/>
            <scheme val="minor"/>
          </rPr>
          <t>Your Auto Scaling</t>
        </r>
        <r>
          <rPr>
            <sz val="14"/>
            <color rgb="FF000000"/>
            <rFont val="Calibri"/>
            <family val="2"/>
            <scheme val="minor"/>
          </rPr>
          <t xml:space="preserve"> </t>
        </r>
        <r>
          <rPr>
            <sz val="14"/>
            <color rgb="FF000000"/>
            <rFont val="Calibri"/>
            <family val="2"/>
            <scheme val="minor"/>
          </rPr>
          <t>target utilization (use 100% if AutoScaling</t>
        </r>
        <r>
          <rPr>
            <sz val="14"/>
            <color rgb="FF000000"/>
            <rFont val="Calibri"/>
            <family val="2"/>
            <scheme val="minor"/>
          </rPr>
          <t xml:space="preserve"> is disabled)</t>
        </r>
        <r>
          <rPr>
            <sz val="14"/>
            <color rgb="FF000000"/>
            <rFont val="Calibri"/>
            <family val="2"/>
            <scheme val="minor"/>
          </rPr>
          <t xml:space="preserve">
</t>
        </r>
        <r>
          <rPr>
            <sz val="14"/>
            <color rgb="FF000000"/>
            <rFont val="Calibri"/>
            <family val="2"/>
            <scheme val="minor"/>
          </rPr>
          <t xml:space="preserve">0%-100%.
</t>
        </r>
        <r>
          <rPr>
            <sz val="14"/>
            <color rgb="FF000000"/>
            <rFont val="Calibri"/>
            <family val="2"/>
            <scheme val="minor"/>
          </rPr>
          <t xml:space="preserve">The default is 70%.
</t>
        </r>
        <r>
          <rPr>
            <sz val="14"/>
            <color rgb="FF000000"/>
            <rFont val="Calibri"/>
            <family val="2"/>
            <scheme val="minor"/>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scheme val="minor"/>
          </rPr>
          <t xml:space="preserve">The higher the percentage you choose, the lower your cost will be. 
</t>
        </r>
        <r>
          <rPr>
            <sz val="14"/>
            <color rgb="FF000000"/>
            <rFont val="Calibri"/>
            <family val="2"/>
            <scheme val="minor"/>
          </rPr>
          <t xml:space="preserve">
</t>
        </r>
        <r>
          <rPr>
            <b/>
            <sz val="14"/>
            <color rgb="FF000000"/>
            <rFont val="Calibri"/>
            <family val="2"/>
            <scheme val="minor"/>
          </rPr>
          <t>On-Demand:</t>
        </r>
        <r>
          <rPr>
            <sz val="14"/>
            <color rgb="FF000000"/>
            <rFont val="Calibri"/>
            <family val="2"/>
            <scheme val="minor"/>
          </rPr>
          <t xml:space="preserve">
</t>
        </r>
        <r>
          <rPr>
            <sz val="14"/>
            <color rgb="FF000000"/>
            <rFont val="Calibri"/>
            <family val="2"/>
            <scheme val="minor"/>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scheme val="minor"/>
          </rPr>
          <t xml:space="preserve">
</t>
        </r>
        <r>
          <rPr>
            <sz val="14"/>
            <color rgb="FF000000"/>
            <rFont val="Calibri"/>
            <family val="2"/>
            <scheme val="minor"/>
          </rPr>
          <t xml:space="preserve">As a general rule, your utilization should be less than 18% of the provisioned capacity when using on-demand to save costs.
</t>
        </r>
        <r>
          <rPr>
            <sz val="14"/>
            <color rgb="FF000000"/>
            <rFont val="Calibri"/>
            <family val="2"/>
            <scheme val="minor"/>
          </rPr>
          <t xml:space="preserve">
</t>
        </r>
        <r>
          <rPr>
            <sz val="14"/>
            <color rgb="FF000000"/>
            <rFont val="Calibri"/>
            <family val="2"/>
            <scheme val="minor"/>
          </rPr>
          <t xml:space="preserve">The higher the percentage you choose, the higher your cost will be. 
</t>
        </r>
        <r>
          <rPr>
            <sz val="14"/>
            <color rgb="FF000000"/>
            <rFont val="Calibri"/>
            <family val="2"/>
            <scheme val="minor"/>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scheme val="minor"/>
          </rPr>
          <t xml:space="preserve">The sum of the percentage of eventual cosistancy, strong consistancy, and transaction reads </t>
        </r>
        <r>
          <rPr>
            <b/>
            <sz val="18"/>
            <color rgb="FFFF0000"/>
            <rFont val="Calibri"/>
            <family val="2"/>
            <scheme val="minor"/>
          </rPr>
          <t xml:space="preserve">must be equal to 100%. </t>
        </r>
        <r>
          <rPr>
            <sz val="18"/>
            <color rgb="FFFF0000"/>
            <rFont val="Calibri"/>
            <family val="2"/>
            <scheme val="minor"/>
          </rPr>
          <t xml:space="preserve">
</t>
        </r>
        <r>
          <rPr>
            <sz val="18"/>
            <color rgb="FF000000"/>
            <rFont val="Calibri"/>
            <family val="2"/>
            <scheme val="minor"/>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<sst xmlns="http://schemas.openxmlformats.org/spreadsheetml/2006/main" count="274" uniqueCount="212">
  <si>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</si>
  <si>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</si>
  <si>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</si>
  <si>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</si>
  <si>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</si>
  <si>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</si>
  <si>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</si>
  <si>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</si>
  <si>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</si>
  <si>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</si>
  <si>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</si>
  <si>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</si>
  <si>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</si>
  <si>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</si>
  <si>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</si>
  <si>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</si>
  <si>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</si>
  <si>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</si>
  <si>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</si>
  <si>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</si>
  <si>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</si>
  <si>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</si>
  <si>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</si>
  <si>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</si>
  <si>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</si>
  <si>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</si>
  <si>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</si>
  <si>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</si>
  <si>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</si>
  <si>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</si>
  <si>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</si>
  <si>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</si>
  <si>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</si>
  <si>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</si>
  <si>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</si>
  <si>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</si>
  <si>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</si>
  <si>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</si>
  <si>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</si>
  <si>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</si>
  <si>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</si>
  <si>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</si>
  <si>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</si>
  <si>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</si>
  <si>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</si>
  <si>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</si>
  <si>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</si>
  <si>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</si>
  <si>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</si>
  <si>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</si>
  <si>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</si>
  <si>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</si>
  <si>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</si>
  <si>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</si>
  <si>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</si>
  <si>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</si>
  <si>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</si>
  <si>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</si>
  <si>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</si>
  <si>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</si>
  <si>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</si>
  <si>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</si>
  <si>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</si>
  <si>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</si>
  <si>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</si>
  <si>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</si>
  <si>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</si>
  <si>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</si>
  <si>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</si>
  <si>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</si>
  <si>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</si>
  <si>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</si>
  <si>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</si>
  <si>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</si>
  <si>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</si>
  <si>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</si>
  <si>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</si>
  <si>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</si>
  <si>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</si>
  <si>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</si>
  <si>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</si>
  <si>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</si>
  <si>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</si>
  <si>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</si>
  <si>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</si>
  <si>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</si>
  <si>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</si>
  <si>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</si>
  <si>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</si>
  <si>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</si>
  <si>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</si>
  <si>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</si>
  <si>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</si>
  <si>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</si>
  <si>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</si>
  <si>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</si>
  <si>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</si>
  <si>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</si>
  <si>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</si>
  <si>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</si>
  <si>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</si>
  <si>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</si>
  <si>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</si>
  <si>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</si>
  <si>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</si>
  <si>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</si>
  <si>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</si>
  <si>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</si>
  <si>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</si>
  <si>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</si>
  <si>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</si>
  <si>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</si>
  <si>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</si>
  <si>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</si>
  <si>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</si>
  <si>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</si>
  <si>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</si>
  <si>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</si>
  <si>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</si>
  <si>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</si>
  <si>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</si>
  <si>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</si>
  <si>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</si>
  <si>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</si>
  <si>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</si>
  <si>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</si>
  <si>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</si>
  <si>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</si>
  <si>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</si>
  <si>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</si>
  <si>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</si>
  <si>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</si>
  <si>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</si>
  <si>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</si>
  <si>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</si>
  <si>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</si>
  <si>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</si>
  <si>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</si>
  <si>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</si>
  <si>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</si>
  <si>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</si>
  <si>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</si>
  <si>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</si>
  <si>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</si>
  <si>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</si>
  <si>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</si>
  <si>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</si>
  <si>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</si>
  <si>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</si>
  <si>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</si>
  <si>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</si>
  <si>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</si>
  <si>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</si>
  <si>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</si>
  <si>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</si>
  <si>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</si>
  <si>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</si>
  <si>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</si>
  <si>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</si>
  <si>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</si>
  <si>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</si>
  <si>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</si>
  <si>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</si>
  <si>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</si>
  <si>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</si>
  <si>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</si>
  <si>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</si>
  <si>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</si>
  <si>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</si>
  <si>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</si>
  <si>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</si>
  <si>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</si>
  <si>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</si>
  <si>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</si>
  <si>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</si>
  <si>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</si>
  <si>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</si>
  <si>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</si>
  <si>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</si>
  <si>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</si>
  <si>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</si>
  <si>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</si>
  <si>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</si>
  <si>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</si>
  <si>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</si>
  <si>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</si>
  <si>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</si>
  <si>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</si>
  <si>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</si>
  <si>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</si>
  <si>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</si>
  <si>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</si>
  <si>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</si>
  <si>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</si>
  <si>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</si>
  <si>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</si>
  <si>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</si>
  <si>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</si>
  <si>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</si>
  <si>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</si>
  <si>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</si>
  <si>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</si>
  <si>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</si>
  <si>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</si>
  <si>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</si>
  <si>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</si>
  <si>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</si>
  <si>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</si>
  <si>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</si>
  <si>
    <t>Yes, 3 regions</t>
  </si>
  <si>
    <t>Yes, MRSC</t>
  </si>
  <si>
    <r>
      <t xml:space="preserve">DynamoDB Cost Template
</t>
    </r>
    <r>
      <rPr>
        <sz val="11"/>
        <color theme="0"/>
        <rFont val="Calibri (Body)"/>
      </rPr>
      <t>Prices in us-east-1, updated for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</si>
</sst>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8"/>
      <color rgb="FFFF0000"/>
      <name val="Calibri"/>
      <family val="2"/>
      <scheme val="minor"/>
    </font>
    <font>
      <sz val="18"/>
      <color rgb="FFFF0000"/>
      <name val="Calibri"/>
      <family val="2"/>
      <scheme val="minor"/>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9" fillId="5" borderId="0" xfId="0" applyFont="1" applyFill="1" applyAlignment="1">
      <alignment horizontal="right"/>
    </xf>
    <xf numFmtId="0" fontId="50" fillId="3" borderId="0" xfId="0" applyFont="1" applyFill="1" applyAlignment="1">
      <alignment horizontal="center"/>
    </xf>
    <xf numFmtId="0" fontId="0" fillId="5" borderId="0" xfId="0" applyFill="1"/>
    <xf numFmtId="171" fontId="51" fillId="3" borderId="0" xfId="0" applyNumberFormat="1" applyFont="1" applyFill="1" applyAlignment="1">
      <alignment horizontal="right"/>
    </xf>
    <xf numFmtId="172" fontId="51" fillId="3" borderId="0" xfId="0" applyNumberFormat="1" applyFont="1" applyFill="1"/>
    <xf numFmtId="0" fontId="0" fillId="3" borderId="0" xfId="0" applyFill="1"/>
    <xf numFmtId="173" fontId="51" fillId="3" borderId="0" xfId="0" applyNumberFormat="1" applyFont="1" applyFill="1" applyAlignment="1">
      <alignment horizontal="center"/>
    </xf>
    <xf numFmtId="0" fontId="0" fillId="5" borderId="0" xfId="0" applyFill="1" applyAlignment="1">
      <alignment horizontal="right"/>
    </xf>
    <xf numFmtId="0" fontId="51" fillId="3" borderId="0" xfId="0" applyFont="1" applyFill="1" applyAlignment="1">
      <alignment horizontal="center"/>
    </xf>
    <xf numFmtId="0" fontId="30" fillId="0" borderId="0" xfId="0" applyFont="1"/>
    <xf numFmtId="1" fontId="51" fillId="3" borderId="0" xfId="0" applyNumberFormat="1" applyFont="1" applyFill="1" applyAlignment="1">
      <alignment horizontal="center"/>
    </xf>
    <xf numFmtId="2" fontId="0" fillId="0" borderId="0" xfId="0" applyNumberFormat="1" applyAlignment="1">
      <alignment wrapText="1"/>
    </xf>
    <xf numFmtId="0" fontId="52" fillId="3" borderId="0" xfId="0" applyFont="1" applyFill="1" applyAlignment="1">
      <alignment horizontal="left"/>
    </xf>
    <xf numFmtId="0" fontId="52" fillId="3" borderId="0" xfId="0" applyFont="1" applyFill="1" applyAlignment="1">
      <alignment horizontal="center"/>
    </xf>
    <xf numFmtId="2" fontId="53" fillId="5" borderId="0" xfId="0" applyNumberFormat="1" applyFont="1" applyFill="1" applyAlignment="1">
      <alignment wrapText="1"/>
    </xf>
    <xf numFmtId="2" fontId="53" fillId="5" borderId="74" xfId="0" applyNumberFormat="1" applyFont="1" applyFill="1" applyBorder="1" applyAlignment="1">
      <alignment wrapText="1"/>
    </xf>
    <xf numFmtId="2" fontId="53" fillId="5" borderId="75" xfId="0" applyNumberFormat="1" applyFont="1" applyFill="1" applyBorder="1" applyAlignment="1">
      <alignment wrapText="1"/>
    </xf>
    <xf numFmtId="0" fontId="0" fillId="0" borderId="0" xfId="0" applyAlignment="1">
      <alignment vertical="center"/>
    </xf>
    <xf numFmtId="0" fontId="54" fillId="2" borderId="76" xfId="0" applyFont="1" applyFill="1" applyBorder="1" applyAlignment="1">
      <alignment horizontal="center"/>
    </xf>
    <xf numFmtId="0" fontId="55"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5" fillId="0" borderId="16" xfId="0" applyFont="1" applyBorder="1" applyAlignment="1">
      <alignment horizontal="right"/>
    </xf>
    <xf numFmtId="0" fontId="55" fillId="0" borderId="18" xfId="0" applyFont="1" applyBorder="1" applyAlignment="1">
      <alignment horizontal="right"/>
    </xf>
    <xf numFmtId="2" fontId="53" fillId="5" borderId="8" xfId="0" applyNumberFormat="1" applyFont="1" applyFill="1" applyBorder="1" applyAlignment="1">
      <alignment horizontal="center" wrapText="1"/>
    </xf>
    <xf numFmtId="2" fontId="53" fillId="5" borderId="42" xfId="0" applyNumberFormat="1" applyFont="1" applyFill="1" applyBorder="1" applyAlignment="1">
      <alignment horizontal="center" wrapText="1"/>
    </xf>
    <xf numFmtId="2" fontId="53" fillId="5" borderId="1" xfId="0" applyNumberFormat="1" applyFont="1" applyFill="1" applyBorder="1" applyAlignment="1">
      <alignment horizontal="center" wrapText="1"/>
    </xf>
    <xf numFmtId="0" fontId="52"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57" fillId="2" borderId="89" xfId="0" applyFont="1" applyFill="1" applyBorder="1" applyAlignment="1">
      <alignment horizontal="center"/>
    </xf>
    <xf numFmtId="0" fontId="57"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7" fillId="2" borderId="82" xfId="0" applyFont="1" applyFill="1" applyBorder="1" applyAlignment="1">
      <alignment horizontal="center"/>
    </xf>
    <xf numFmtId="0" fontId="57"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13" fillId="3" borderId="57" xfId="0" applyFont="1" applyFill="1" applyBorder="1" applyAlignment="1">
      <alignment horizontal="center"/>
    </xf>
    <xf numFmtId="0" fontId="57" fillId="2" borderId="42" xfId="0" applyFont="1" applyFill="1" applyBorder="1" applyAlignment="1">
      <alignment horizontal="center"/>
    </xf>
    <xf numFmtId="0" fontId="57" fillId="2" borderId="1" xfId="0" applyFont="1" applyFill="1" applyBorder="1" applyAlignment="1">
      <alignment horizontal="center"/>
    </xf>
    <xf numFmtId="0" fontId="57" fillId="2" borderId="80" xfId="0" applyFont="1" applyFill="1" applyBorder="1" applyAlignment="1">
      <alignment horizontal="center"/>
    </xf>
    <xf numFmtId="0" fontId="57"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79" xfId="0" applyFont="1" applyFill="1" applyBorder="1" applyAlignment="1">
      <alignment horizontal="center"/>
    </xf>
  </cellXfs>
  <cellStyles count="3">
    <cellStyle name="Comma" xfId="2" builtinId="3"/>
    <cellStyle name="Normal" xfId="0" builtinId="0"/>
    <cellStyle name="Percent" xfId="1" builtinId="5"/>
  </cellStyles>
  <dxfs count="62">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1F7D0-B36B-DD47-8C46-CF821975800D}"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N33">
    <sortCondition descending="1" ref="A2:A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61" totalsRowDxfId="60"/>
    <tableColumn id="15" xr3:uid="{3041EACD-1693-EC4F-9928-6C3936D206CE}" name="Standard_IA" dataDxfId="59" totalsRowDxfId="58"/>
    <tableColumn id="8" xr3:uid="{EC65115E-728D-C840-BE66-3C6FD170968F}" name="Provisioned - WCU" dataDxfId="57" totalsRowDxfId="56"/>
    <tableColumn id="5" xr3:uid="{E5D67E0F-AD04-A149-93D6-A3AF2ECE2F41}" name="Provisioned - RCU" dataDxfId="55" totalsRowDxfId="54"/>
    <tableColumn id="10" xr3:uid="{63500D62-826A-BE41-A0E4-E4BC0A60313C}" name="Provisioned_IA- WCU" dataDxfId="53" totalsRowDxfId="52"/>
    <tableColumn id="7" xr3:uid="{8B367489-BF7E-8B4F-9611-FA953AD6C79E}" name="Provisioned_IA- RCU" dataDxfId="51" totalsRowDxfId="50"/>
    <tableColumn id="12" xr3:uid="{DF393429-B26C-0046-A59F-F50B43491C0C}" name="OD_WRU" dataDxfId="49" totalsRowDxfId="48"/>
    <tableColumn id="9" xr3:uid="{772E548A-0178-ED47-9354-38D5057D5EBD}" name="OD_RRU" dataDxfId="47" totalsRowDxfId="46"/>
    <tableColumn id="11" xr3:uid="{8B38EE2D-1D3C-9F4A-9EB7-08BD8A62CE3A}" name="OD_IA_WRU" dataDxfId="45" totalsRowDxfId="44"/>
    <tableColumn id="13" xr3:uid="{FBA18991-3DBC-224E-B3CB-E81BC4ACEFC0}" name="OD_IA_RRU" dataDxfId="43" totalsRowDxfId="42"/>
    <tableColumn id="17" xr3:uid="{E61725AA-8D5A-0242-B068-AFECA7F4B791}" name="Ratio_P_WCU" dataDxfId="41" totalsRowDxfId="40">
      <calculatedColumnFormula>Table4[[#This Row],[Provisioned_IA- WCU]]/Table4[[#This Row],[Provisioned - WCU]]</calculatedColumnFormula>
    </tableColumn>
    <tableColumn id="18" xr3:uid="{2B5D4F38-E0AF-9E43-8E63-3D8CCA639A89}" name="Ratio_P_RCU" dataDxfId="39" totalsRowDxfId="38">
      <calculatedColumnFormula>Table4[[#This Row],[Provisioned_IA- RCU]]/Table4[[#This Row],[Provisioned - RCU]]</calculatedColumnFormula>
    </tableColumn>
    <tableColumn id="19" xr3:uid="{44B28A4F-B169-BA49-A308-438B27B979B0}" name="RationOD_WCU" dataDxfId="37" totalsRowDxfId="36">
      <calculatedColumnFormula>Table4[[#This Row],[OD_IA_WRU]]/Table4[[#This Row],[OD_WRU]]</calculatedColumnFormula>
    </tableColumn>
    <tableColumn id="20" xr3:uid="{401D964D-329D-F747-A4C3-8903B6AEB0CB}" name="RatioOD_RCU" dataDxfId="35" totalsRowDxfId="34">
      <calculatedColumnFormula>Table4[[#This Row],[OD_IA_RRU]]/Table4[[#This Row],[OD_RRU]]</calculatedColumnFormula>
    </tableColumn>
    <tableColumn id="21" xr3:uid="{17D9228B-9461-7A44-879C-1782D7D904B9}" name="RatioStorage" dataDxfId="33" totalsRowDxfId="32">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11F-7B7D-344C-A811-3E0902529217}">
  <dimension ref="B1:G31"/>
  <sheetViews>
    <sheetView tabSelected="1" zoomScale="120" zoomScaleNormal="120" workbookViewId="0">
      <selection activeCell="C14" sqref="C14"/>
    </sheetView>
  </sheetViews>
  <sheetFormatPr baseColWidth="10" defaultRowHeight="16" x14ac:dyDescent="0.2"/>
  <cols>
    <col min="1" max="1" width="1.83203125" customWidth="1"/>
    <col min="2" max="2" width="45.332031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211</v>
      </c>
      <c r="C2" s="82" t="s">
        <v>175</v>
      </c>
      <c r="D2" s="82" t="s">
        <v>176</v>
      </c>
      <c r="E2" s="83" t="s">
        <v>177</v>
      </c>
    </row>
    <row r="3" spans="2:7" ht="19" x14ac:dyDescent="0.25">
      <c r="B3" s="85" t="s">
        <v>178</v>
      </c>
      <c r="C3" s="86">
        <v>4</v>
      </c>
      <c r="D3" s="86">
        <v>1</v>
      </c>
      <c r="E3" s="87"/>
    </row>
    <row r="4" spans="2:7" ht="18" customHeight="1" x14ac:dyDescent="0.2">
      <c r="B4" s="85" t="s">
        <v>179</v>
      </c>
      <c r="C4" s="88">
        <f>0.125/1000000</f>
        <v>1.2499999999999999E-7</v>
      </c>
      <c r="D4" s="88">
        <f>0.625/1000000</f>
        <v>6.2500000000000005E-7</v>
      </c>
      <c r="E4" s="87"/>
    </row>
    <row r="5" spans="2:7" ht="18" customHeight="1" x14ac:dyDescent="0.2">
      <c r="B5" s="85" t="s">
        <v>180</v>
      </c>
      <c r="C5" s="89">
        <v>1.2999999999999999E-4</v>
      </c>
      <c r="D5" s="89">
        <v>6.4999999999999997E-4</v>
      </c>
      <c r="E5" s="87"/>
    </row>
    <row r="6" spans="2:7" x14ac:dyDescent="0.2">
      <c r="E6" s="87"/>
    </row>
    <row r="7" spans="2:7" x14ac:dyDescent="0.2">
      <c r="B7" s="85" t="s">
        <v>181</v>
      </c>
      <c r="C7" s="90"/>
      <c r="D7" s="90"/>
      <c r="E7" s="91">
        <v>0.25</v>
      </c>
    </row>
    <row r="9" spans="2:7" x14ac:dyDescent="0.2">
      <c r="B9" s="92" t="s">
        <v>182</v>
      </c>
      <c r="C9" s="93" t="s">
        <v>183</v>
      </c>
    </row>
    <row r="10" spans="2:7" x14ac:dyDescent="0.2">
      <c r="B10" s="92" t="s">
        <v>184</v>
      </c>
      <c r="C10" s="93">
        <v>1</v>
      </c>
      <c r="E10" s="94">
        <f>_xlfn.SWITCH(TimeUnit, "Year", 8760, "Month", 720, "Day", 24, "Hour", 1) * TimeUnitQty</f>
        <v>720</v>
      </c>
    </row>
    <row r="11" spans="2:7" x14ac:dyDescent="0.2">
      <c r="B11" s="92" t="s">
        <v>185</v>
      </c>
      <c r="C11" s="95">
        <v>50</v>
      </c>
    </row>
    <row r="12" spans="2:7" x14ac:dyDescent="0.2">
      <c r="B12" s="92" t="s">
        <v>186</v>
      </c>
      <c r="C12" s="93" t="s">
        <v>187</v>
      </c>
      <c r="E12" s="94">
        <f>_xlfn.SWITCH(GT, "No", 1, "Yes, 2 regions", 2, "Yes, 3 regions", 3, "Yes, MRSC", 3)</f>
        <v>1</v>
      </c>
      <c r="F12" s="94">
        <f>_xlfn.SWITCH(GT, "No", 1, "Yes, 2 regions", 2, "Yes, 3 regions", 3, "Yes, MRSC",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188</v>
      </c>
      <c r="F15" s="100" t="s">
        <v>189</v>
      </c>
      <c r="G15" s="101" t="s">
        <v>190</v>
      </c>
    </row>
    <row r="16" spans="2:7" ht="21" x14ac:dyDescent="0.25">
      <c r="B16" s="102" t="s">
        <v>191</v>
      </c>
      <c r="C16" s="103">
        <v>100</v>
      </c>
      <c r="D16" s="104" t="s">
        <v>192</v>
      </c>
      <c r="E16" s="105">
        <f>C16*OnDemandRcuPrice*3600*Hours</f>
        <v>32.4</v>
      </c>
      <c r="F16" s="106">
        <f>C16*ProvisionedPricePerReadUnitHourly*Hours*(1/(ProvisioningEfficiency/100))</f>
        <v>18.72</v>
      </c>
      <c r="G16" s="107"/>
    </row>
    <row r="17" spans="2:7" ht="21" x14ac:dyDescent="0.25">
      <c r="B17" s="102" t="s">
        <v>193</v>
      </c>
      <c r="C17" s="103">
        <v>100</v>
      </c>
      <c r="D17" s="104" t="s">
        <v>194</v>
      </c>
      <c r="E17" s="108">
        <f>C17*OnDemandWcuPrice*3600*Hours*GTWrites</f>
        <v>162</v>
      </c>
      <c r="F17" s="109">
        <f>C17*ProvisionedPricePerWriteUnitHourly*Hours*(1/(ProvisioningEfficiency/100))*GTWrites</f>
        <v>93.600000000000009</v>
      </c>
      <c r="G17" s="107"/>
    </row>
    <row r="18" spans="2:7" ht="21" x14ac:dyDescent="0.25">
      <c r="B18" s="102" t="s">
        <v>195</v>
      </c>
      <c r="C18" s="103">
        <v>100</v>
      </c>
      <c r="D18" s="104" t="s">
        <v>196</v>
      </c>
      <c r="E18" s="107"/>
      <c r="F18" s="107"/>
      <c r="G18" s="105">
        <f>C18*StorageCostPerGbHour * (Hours/720)*GTStorage</f>
        <v>25</v>
      </c>
    </row>
    <row r="22" spans="2:7" x14ac:dyDescent="0.2">
      <c r="B22" s="110" t="s">
        <v>197</v>
      </c>
    </row>
    <row r="23" spans="2:7" x14ac:dyDescent="0.2">
      <c r="B23" s="110" t="s">
        <v>198</v>
      </c>
    </row>
    <row r="24" spans="2:7" x14ac:dyDescent="0.2">
      <c r="B24" s="110" t="s">
        <v>199</v>
      </c>
    </row>
    <row r="26" spans="2:7" hidden="1" x14ac:dyDescent="0.2"/>
    <row r="27" spans="2:7" hidden="1" x14ac:dyDescent="0.2">
      <c r="B27" t="s">
        <v>200</v>
      </c>
      <c r="C27" t="s">
        <v>201</v>
      </c>
    </row>
    <row r="28" spans="2:7" hidden="1" x14ac:dyDescent="0.2">
      <c r="B28" t="s">
        <v>202</v>
      </c>
      <c r="C28" t="s">
        <v>187</v>
      </c>
    </row>
    <row r="29" spans="2:7" hidden="1" x14ac:dyDescent="0.2">
      <c r="B29" t="s">
        <v>203</v>
      </c>
      <c r="C29" t="s">
        <v>204</v>
      </c>
    </row>
    <row r="30" spans="2:7" hidden="1" x14ac:dyDescent="0.2">
      <c r="B30" t="s">
        <v>183</v>
      </c>
      <c r="C30" t="s">
        <v>209</v>
      </c>
    </row>
    <row r="31" spans="2:7" hidden="1" x14ac:dyDescent="0.2">
      <c r="B31" t="s">
        <v>205</v>
      </c>
      <c r="C31" t="s">
        <v>210</v>
      </c>
    </row>
  </sheetData>
  <dataValidations count="3">
    <dataValidation type="whole" allowBlank="1" showInputMessage="1" showErrorMessage="1" sqref="C11" xr:uid="{D6E42FBD-5461-444E-81E0-C34F8E03CE7D}">
      <formula1>1</formula1>
      <formula2>100</formula2>
    </dataValidation>
    <dataValidation type="list" allowBlank="1" showInputMessage="1" showErrorMessage="1" sqref="C9" xr:uid="{002149AF-C7EA-E945-B9C4-26D82F61BFEA}">
      <formula1>$B$28:$B$31</formula1>
    </dataValidation>
    <dataValidation type="list" allowBlank="1" showInputMessage="1" showErrorMessage="1" sqref="C12" xr:uid="{EA6DDBB6-4213-C942-AEE9-964048E9D090}">
      <formula1>$C$28:$C$31</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1" zoomScaleNormal="100" workbookViewId="0">
      <selection activeCell="H5" sqref="H5"/>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54" t="s">
        <v>14</v>
      </c>
      <c r="B3" s="155"/>
      <c r="C3" s="155"/>
      <c r="D3" s="155"/>
      <c r="E3" s="156"/>
      <c r="G3" s="122" t="s">
        <v>121</v>
      </c>
      <c r="H3" s="123"/>
      <c r="I3" s="123"/>
      <c r="J3" s="124"/>
      <c r="K3" s="124"/>
      <c r="L3" s="124"/>
    </row>
    <row r="4" spans="1:14" ht="22" thickBot="1" x14ac:dyDescent="0.3">
      <c r="A4" s="8"/>
      <c r="B4" s="146" t="s">
        <v>9</v>
      </c>
      <c r="C4" s="147"/>
      <c r="D4" s="157" t="s">
        <v>10</v>
      </c>
      <c r="E4" s="158"/>
      <c r="G4" s="41" t="s">
        <v>135</v>
      </c>
      <c r="H4" s="72" t="s">
        <v>116</v>
      </c>
      <c r="I4" s="73">
        <v>0.7</v>
      </c>
    </row>
    <row r="5" spans="1:14" ht="29" x14ac:dyDescent="0.35">
      <c r="A5" s="11" t="s">
        <v>7</v>
      </c>
      <c r="B5" s="148">
        <v>1000</v>
      </c>
      <c r="C5" s="149"/>
      <c r="D5" s="159" cm="1">
        <f t="array" ref="D5">_xlfn.IFS(H4="Provisioned capacity",B5*I36,H4="On Demand",B5*M36)</f>
        <v>1251.0204081632655</v>
      </c>
      <c r="E5" s="160"/>
      <c r="G5" s="41" t="s">
        <v>134</v>
      </c>
      <c r="H5" s="70" t="s">
        <v>76</v>
      </c>
      <c r="I5" s="71" t="str">
        <f>VLOOKUP(H5,Table4[[#All],['# aws_region]:[city]],4,0)</f>
        <v>Europe (Ireland)</v>
      </c>
    </row>
    <row r="6" spans="1:14" ht="30" thickBot="1" x14ac:dyDescent="0.4">
      <c r="A6" s="11" t="s">
        <v>8</v>
      </c>
      <c r="B6" s="164">
        <v>100</v>
      </c>
      <c r="C6" s="165"/>
      <c r="D6" s="161">
        <f>B6*P36</f>
        <v>40</v>
      </c>
      <c r="E6" s="143"/>
      <c r="G6" s="42" t="s">
        <v>131</v>
      </c>
      <c r="H6" s="56">
        <v>2</v>
      </c>
      <c r="I6" s="59" t="str">
        <f>H6*1024&amp;(" Bytes")</f>
        <v>2048 Bytes</v>
      </c>
    </row>
    <row r="7" spans="1:14" ht="22" thickBot="1" x14ac:dyDescent="0.3">
      <c r="A7" s="12" t="s">
        <v>20</v>
      </c>
      <c r="B7" s="166">
        <f>SUM(B5:B6)</f>
        <v>1100</v>
      </c>
      <c r="C7" s="167"/>
      <c r="D7" s="162">
        <f>SUM(D5:D6)</f>
        <v>1291.0204081632655</v>
      </c>
      <c r="E7" s="163"/>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-191.02040816326542</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100</v>
      </c>
      <c r="I11" s="57"/>
      <c r="K11" s="2"/>
    </row>
    <row r="12" spans="1:14" ht="21" x14ac:dyDescent="0.25">
      <c r="A12" s="5"/>
      <c r="B12" s="5"/>
      <c r="C12" s="5"/>
      <c r="D12" s="5"/>
      <c r="E12" s="5"/>
      <c r="G12" s="41" t="s">
        <v>129</v>
      </c>
      <c r="H12" s="60">
        <v>100</v>
      </c>
      <c r="I12" s="58"/>
    </row>
    <row r="13" spans="1:14" ht="22" thickBot="1" x14ac:dyDescent="0.3">
      <c r="A13" s="24"/>
      <c r="B13" s="24"/>
      <c r="C13" s="24"/>
      <c r="D13" s="24"/>
      <c r="E13" s="24"/>
      <c r="G13" s="42" t="s">
        <v>130</v>
      </c>
      <c r="H13" s="56">
        <v>25</v>
      </c>
      <c r="I13" s="59"/>
    </row>
    <row r="14" spans="1:14" ht="20" thickBot="1" x14ac:dyDescent="0.25">
      <c r="A14" s="24"/>
      <c r="B14" s="24"/>
      <c r="C14" s="24"/>
      <c r="D14" s="25"/>
      <c r="E14" s="25"/>
      <c r="F14" s="2"/>
    </row>
    <row r="15" spans="1:14" ht="22" thickBot="1" x14ac:dyDescent="0.3">
      <c r="A15" s="154" t="s">
        <v>15</v>
      </c>
      <c r="B15" s="155"/>
      <c r="C15" s="155"/>
      <c r="D15" s="155"/>
      <c r="E15" s="156"/>
      <c r="G15" s="43" t="s">
        <v>124</v>
      </c>
      <c r="H15" s="44" t="str" cm="1">
        <f t="array" ref="H15">_xlfn.IFS($H$4="On Demand", "Requests (Hour)", $H$4="Provisioned Capacity", "Capacity Units (Hour)")</f>
        <v>Capacity Units (Hour)</v>
      </c>
      <c r="I15" s="44" t="str" cm="1">
        <f t="array" ref="I15">_xlfn.IFS($H$4="On Demand", "Requests (Month)", $H$4="Provisioned Capacity", "Capacity Units (Month)")</f>
        <v>Capacity Units (Month)</v>
      </c>
      <c r="J15" s="44" t="s">
        <v>119</v>
      </c>
      <c r="K15" s="44" t="s">
        <v>120</v>
      </c>
      <c r="L15" s="39" t="s">
        <v>169</v>
      </c>
    </row>
    <row r="16" spans="1:14" ht="30" customHeight="1" thickBot="1" x14ac:dyDescent="0.3">
      <c r="A16" s="8"/>
      <c r="B16" s="146" t="s">
        <v>13</v>
      </c>
      <c r="C16" s="147"/>
      <c r="D16" s="138" t="s">
        <v>12</v>
      </c>
      <c r="E16" s="139"/>
      <c r="G16" s="46" t="str" cm="1">
        <f t="array" ref="G16">_xlfn.IFS($H$4="On Demand", "RRU", $H$4="Provisioned Capacity", "RCU")</f>
        <v>RCU</v>
      </c>
      <c r="H16" s="62" cm="1">
        <f t="array" ref="H16">_xlfn.IFS($H$4="Provisioned Capacity",(CEILING($H$6,4)/4)*(($H$11*(H8/100))*0.5+($H$11*(($H$9/100)))+($H$11*($H$10/100))*2)*(1/I4),$H$4="On Demand",(CEILING($H$6,4)/4)*(($H$11*($H$8/100))*0.5+($H$11*(($H$9/100)))+($H$11*(($H$10/100))*2))*3600*(I4))</f>
        <v>71.428571428571431</v>
      </c>
      <c r="I16" s="62">
        <f>$H$16*730</f>
        <v>52142.857142857145</v>
      </c>
      <c r="J16" s="68" cm="1">
        <f t="array" ref="J16">_xlfn.IFS($H$4="Provisioned Capacity",$I$16*$H$30,$H$4="On Demand",$I$16*$L$30/1000000)</f>
        <v>7.665</v>
      </c>
      <c r="K16" s="136">
        <f>$J$16+$J$17</f>
        <v>160.965</v>
      </c>
      <c r="L16" s="130">
        <f>$K$16+$K$18</f>
        <v>160.965</v>
      </c>
    </row>
    <row r="17" spans="1:16" ht="30" thickBot="1" x14ac:dyDescent="0.4">
      <c r="A17" s="11" t="s">
        <v>7</v>
      </c>
      <c r="B17" s="148">
        <v>1251</v>
      </c>
      <c r="C17" s="149"/>
      <c r="D17" s="140" cm="1">
        <f t="array" ref="D17">_xlfn.IFS(H4="Provisioned capacity",B17/I36,H4="On Demand",B17/M36)</f>
        <v>999.98368678629686</v>
      </c>
      <c r="E17" s="141"/>
      <c r="G17" s="47" t="str" cm="1">
        <f t="array" ref="G17">_xlfn.IFS($H$4="On Demand", "WRU", $H$4="Provisioned Capacity", "WCU")</f>
        <v>WCU</v>
      </c>
      <c r="H17" s="64" cm="1">
        <f t="array" ref="H17">_xlfn.IFS($H$4="Provisioned Capacity",(CEILING($H$6,1)/1)*(($H$12*($I$10/100))*2+($H$12*(1-($I$10/100))))*(1/I4),$H$4="On Demand",(CEILING($H$6,1)/1)*(($H$12*($I$10/100))*3600*2+($H$12*(1-($I$10/100))*3600))*I4)</f>
        <v>285.71428571428572</v>
      </c>
      <c r="I17" s="64">
        <f>H17*730</f>
        <v>208571.42857142858</v>
      </c>
      <c r="J17" s="69" cm="1">
        <f t="array" ref="J17">_xlfn.IFS($H$4="Provisioned Capacity",$I$17*$G$30,$H$4="On Demand",$I$17*$K$30/1000000)</f>
        <v>153.30000000000001</v>
      </c>
      <c r="K17" s="137"/>
      <c r="L17" s="131"/>
    </row>
    <row r="18" spans="1:16" ht="30" thickBot="1" x14ac:dyDescent="0.4">
      <c r="A18" s="11" t="s">
        <v>8</v>
      </c>
      <c r="B18" s="150">
        <v>200</v>
      </c>
      <c r="C18" s="151"/>
      <c r="D18" s="142">
        <f>B18/P36</f>
        <v>500</v>
      </c>
      <c r="E18" s="143"/>
      <c r="G18" s="48" t="s">
        <v>133</v>
      </c>
      <c r="H18" s="125">
        <f>IF($H$13&gt;25,$H$13*$O$30-25*$O$30,0)</f>
        <v>0</v>
      </c>
      <c r="I18" s="126"/>
      <c r="J18" s="127"/>
      <c r="K18" s="45">
        <f>IF($H$13&gt;25,$H$13*$O$30-25*$O$30,0)</f>
        <v>0</v>
      </c>
      <c r="L18" s="132"/>
    </row>
    <row r="19" spans="1:16" ht="22" thickBot="1" x14ac:dyDescent="0.3">
      <c r="A19" s="11" t="s">
        <v>19</v>
      </c>
      <c r="B19" s="152">
        <f>SUM(B17:B18)</f>
        <v>1451</v>
      </c>
      <c r="C19" s="153"/>
      <c r="D19" s="144">
        <f>SUM(D17:D18)</f>
        <v>1499.9836867862969</v>
      </c>
      <c r="E19" s="145"/>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Capacity Units (Hour)</v>
      </c>
      <c r="I20" s="44" t="str" cm="1">
        <f t="array" ref="I20">_xlfn.IFS($H$4="On Demand", "Requests (Month)", $H$4="Provisioned Capacity", "Capacity Units (Month)")</f>
        <v>Capacity Units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-48.983686786296744</v>
      </c>
      <c r="G21" s="49" t="str" cm="1">
        <f t="array" ref="G21">_xlfn.IFS($H$4="On Demand", "RRU", $H$4="Provisioned Capacity", "RCU")</f>
        <v>RCU</v>
      </c>
      <c r="H21" s="66" cm="1">
        <f t="array" ref="H21">_xlfn.IFS($H$4="Provisioned Capacity",(CEILING($H$6,4)/4)*(($H$11*(H8/100))*0.5+($H$11*(($H$9/100)))+($H$11*($H$10/100))*2)*(1/I4),$H$4="On Demand",(CEILING($H$6,4)/4)*(($H$11*($H$8/100))*0.5+($H$11*(($H$9/100)))+($H$11*(($H$10/100)))*2)*3600)</f>
        <v>71.428571428571431</v>
      </c>
      <c r="I21" s="62">
        <f>$H$21*730</f>
        <v>52142.857142857145</v>
      </c>
      <c r="J21" s="63" cm="1">
        <f t="array" ref="J21">_xlfn.IFS($H$4="Provisioned Capacity",$I$21*$J$30,$H$4="On Demand",$I$21*$N$30/1000000)</f>
        <v>9.5942857142857143</v>
      </c>
      <c r="K21" s="136">
        <f>$J$21+$J$22</f>
        <v>201.27142857142857</v>
      </c>
      <c r="L21" s="133">
        <f>$K$21+$K$23</f>
        <v>201.27142857142857</v>
      </c>
    </row>
    <row r="22" spans="1:16" ht="29" customHeight="1" thickBot="1" x14ac:dyDescent="0.3">
      <c r="A22" s="18" t="s">
        <v>18</v>
      </c>
      <c r="B22" s="19" t="s">
        <v>6</v>
      </c>
      <c r="G22" s="49" t="str" cm="1">
        <f t="array" ref="G22">_xlfn.IFS($H$4="On Demand", "WRU", $H$4="Provisioned Capacity", "WCU")</f>
        <v>WCU</v>
      </c>
      <c r="H22" s="67" cm="1">
        <f t="array" ref="H22">_xlfn.IFS($H$4="Provisioned Capacity",(CEILING($H$6,1)/1)*(($H$12*($I$10/100))*2+($H$12*(1-($I$10/100))))*(1/I4),$H$4="On Demand",(CEILING($H$6,1)/1)*(($H$12*($I$10/100))*3600*2+($H$12*(1-($I$10/100))*3600)))</f>
        <v>285.71428571428572</v>
      </c>
      <c r="I22" s="64">
        <f>H22*730</f>
        <v>208571.42857142858</v>
      </c>
      <c r="J22" s="65" cm="1">
        <f t="array" ref="J22">_xlfn.IFS($H$4="Provisioned Capacity",$I$22*$I$30,$H$4="On Demand",$I$22*$M$30/1000000)</f>
        <v>191.67714285714285</v>
      </c>
      <c r="K22" s="137"/>
      <c r="L22" s="134"/>
    </row>
    <row r="23" spans="1:16" ht="29" customHeight="1" thickBot="1" x14ac:dyDescent="0.4">
      <c r="G23" s="50" t="s">
        <v>133</v>
      </c>
      <c r="H23" s="128">
        <f>IF($H$13&gt;25,$H$13*$P$30-25*$P$30,0)</f>
        <v>0</v>
      </c>
      <c r="I23" s="126"/>
      <c r="J23" s="127"/>
      <c r="K23" s="45">
        <f>IF($H$13&gt;25,$H$13*$P$30-25*$P$30,0)</f>
        <v>0</v>
      </c>
      <c r="L23" s="13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40.306428571428569</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7.3499999999999998E-4</v>
      </c>
      <c r="H30" s="33">
        <f>VLOOKUP($H$5,Table4[#All],8,0)</f>
        <v>1.47E-4</v>
      </c>
      <c r="I30" s="33">
        <f>VLOOKUP($H$5,Table4[#All],9,0)</f>
        <v>9.19E-4</v>
      </c>
      <c r="J30" s="33">
        <f>VLOOKUP($H$5,Table4[#All],10,0)</f>
        <v>1.84E-4</v>
      </c>
      <c r="K30" s="33">
        <f>VLOOKUP($H$5,Table4[#All],11,0)</f>
        <v>1.4135</v>
      </c>
      <c r="L30" s="33">
        <f>VLOOKUP($H$5,Table4[#All],12,0)</f>
        <v>0.28299999999999997</v>
      </c>
      <c r="M30" s="33">
        <f>VLOOKUP($H$5,Table4[#All],13,0)</f>
        <v>1.7668999999999999</v>
      </c>
      <c r="N30" s="33">
        <f>VLOOKUP($H$5,Table4[#All],14,0)</f>
        <v>0.35399999999999998</v>
      </c>
      <c r="O30" s="30">
        <f>VLOOKUP($H$5,Table4[#All],5,0)</f>
        <v>0.28299999999999997</v>
      </c>
      <c r="P30" s="31">
        <f>VLOOKUP($H$5,Table4[#All],6,0)</f>
        <v>0.1132</v>
      </c>
    </row>
    <row r="33" spans="8:16" hidden="1" x14ac:dyDescent="0.2"/>
    <row r="34" spans="8:16" hidden="1" x14ac:dyDescent="0.2"/>
    <row r="35" spans="8:16" hidden="1" x14ac:dyDescent="0.2">
      <c r="I35">
        <f>$I$30/$G$30</f>
        <v>1.2503401360544217</v>
      </c>
      <c r="J35">
        <f>$J$30/$H$30</f>
        <v>1.2517006802721089</v>
      </c>
      <c r="M35">
        <f>$M$30/$K$30</f>
        <v>1.2500176865935619</v>
      </c>
      <c r="N35">
        <f>$N$30/$L$30</f>
        <v>1.2508833922261484</v>
      </c>
    </row>
    <row r="36" spans="8:16" hidden="1" x14ac:dyDescent="0.2">
      <c r="H36" t="s">
        <v>132</v>
      </c>
      <c r="I36" s="129">
        <f>$J$35*($H$11/($H$11+$H$12))+$I$35*($H$12/($H$12+$H$11))</f>
        <v>1.2510204081632654</v>
      </c>
      <c r="J36" s="129"/>
      <c r="L36" t="s">
        <v>125</v>
      </c>
      <c r="M36" s="129">
        <f>$N$35*($H$11/($H$11+$H$12))+$M$35*($H$12/($H$12+$H$11))</f>
        <v>1.2504505394098553</v>
      </c>
      <c r="N36" s="129"/>
      <c r="P36">
        <f>$P$30/$O$30</f>
        <v>0.4</v>
      </c>
    </row>
    <row r="37" spans="8:16" hidden="1" x14ac:dyDescent="0.2"/>
    <row r="38" spans="8:16" hidden="1" x14ac:dyDescent="0.2"/>
    <row r="40" spans="8:16" ht="3" customHeight="1" x14ac:dyDescent="0.2"/>
  </sheetData>
  <mergeCells count="27">
    <mergeCell ref="A15:E15"/>
    <mergeCell ref="A3:E3"/>
    <mergeCell ref="D4:E4"/>
    <mergeCell ref="D5:E5"/>
    <mergeCell ref="D6:E6"/>
    <mergeCell ref="D7:E7"/>
    <mergeCell ref="B4:C4"/>
    <mergeCell ref="B5:C5"/>
    <mergeCell ref="B6:C6"/>
    <mergeCell ref="B7:C7"/>
    <mergeCell ref="D16:E16"/>
    <mergeCell ref="D17:E17"/>
    <mergeCell ref="D18:E18"/>
    <mergeCell ref="D19:E19"/>
    <mergeCell ref="B16:C16"/>
    <mergeCell ref="B17:C17"/>
    <mergeCell ref="B18:C18"/>
    <mergeCell ref="B19:C19"/>
    <mergeCell ref="G3:L3"/>
    <mergeCell ref="H18:J18"/>
    <mergeCell ref="H23:J23"/>
    <mergeCell ref="I36:J36"/>
    <mergeCell ref="M36:N36"/>
    <mergeCell ref="L16:L18"/>
    <mergeCell ref="L21:L23"/>
    <mergeCell ref="K21:K22"/>
    <mergeCell ref="K16:K17"/>
  </mergeCells>
  <conditionalFormatting sqref="A9">
    <cfRule type="cellIs" dxfId="31" priority="11" stopIfTrue="1" operator="lessThan">
      <formula>0.4166</formula>
    </cfRule>
    <cfRule type="cellIs" dxfId="30" priority="12" stopIfTrue="1" operator="greaterThan">
      <formula>41.66%</formula>
    </cfRule>
    <cfRule type="cellIs" dxfId="29" priority="13" operator="greaterThan">
      <formula>0.1333</formula>
    </cfRule>
    <cfRule type="cellIs" dxfId="28" priority="14" operator="lessThanOrEqual">
      <formula>13.33%</formula>
    </cfRule>
  </conditionalFormatting>
  <conditionalFormatting sqref="A21">
    <cfRule type="cellIs" dxfId="27" priority="15" operator="greaterThan">
      <formula>0.1333</formula>
    </cfRule>
    <cfRule type="cellIs" dxfId="26" priority="16" operator="lessThanOrEqual">
      <formula>13.33%</formula>
    </cfRule>
  </conditionalFormatting>
  <conditionalFormatting sqref="D9">
    <cfRule type="containsText" dxfId="25" priority="9" operator="containsText" text="Candidate">
      <formula>NOT(ISERROR(SEARCH("Candidate",D9)))</formula>
    </cfRule>
    <cfRule type="containsText" dxfId="24" priority="10" stopIfTrue="1" operator="containsText" text="Optimized">
      <formula>NOT(ISERROR(SEARCH("Optimized",D9)))</formula>
    </cfRule>
  </conditionalFormatting>
  <conditionalFormatting sqref="D21">
    <cfRule type="containsText" dxfId="23" priority="7" operator="containsText" text="Optimized">
      <formula>NOT(ISERROR(SEARCH("Optimized",D21)))</formula>
    </cfRule>
    <cfRule type="containsText" dxfId="22" priority="8" operator="containsText" text="Candidate">
      <formula>NOT(ISERROR(SEARCH("Candidate",D21)))</formula>
    </cfRule>
  </conditionalFormatting>
  <conditionalFormatting sqref="E9">
    <cfRule type="cellIs" dxfId="21" priority="5" operator="lessThan">
      <formula>0</formula>
    </cfRule>
    <cfRule type="cellIs" dxfId="20" priority="6" operator="greaterThan">
      <formula>0</formula>
    </cfRule>
  </conditionalFormatting>
  <conditionalFormatting sqref="E21">
    <cfRule type="cellIs" dxfId="19" priority="17" operator="lessThan">
      <formula>0</formula>
    </cfRule>
    <cfRule type="cellIs" dxfId="18" priority="18" operator="greaterThan">
      <formula>0</formula>
    </cfRule>
  </conditionalFormatting>
  <conditionalFormatting sqref="G26">
    <cfRule type="containsText" dxfId="17" priority="1" operator="containsText" text="Candidate">
      <formula>NOT(ISERROR(SEARCH("Candidate",G26)))</formula>
    </cfRule>
    <cfRule type="containsText" dxfId="16" priority="2" stopIfTrue="1" operator="containsText" text="Optimized">
      <formula>NOT(ISERROR(SEARCH("Optimized",G26)))</formula>
    </cfRule>
  </conditionalFormatting>
  <conditionalFormatting sqref="H26">
    <cfRule type="cellIs" dxfId="15" priority="3" operator="lessThan">
      <formula>0</formula>
    </cfRule>
    <cfRule type="cellIs" dxfId="14"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workbookViewId="0">
      <selection activeCell="D25" sqref="D25"/>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2.1640625" bestFit="1" customWidth="1"/>
  </cols>
  <sheetData>
    <row r="1" spans="1:6" x14ac:dyDescent="0.2">
      <c r="A1" s="24"/>
      <c r="B1" s="24"/>
      <c r="C1" s="24"/>
      <c r="D1" s="24"/>
      <c r="E1" s="24"/>
    </row>
    <row r="2" spans="1:6" ht="17" thickBot="1" x14ac:dyDescent="0.25">
      <c r="A2" s="24"/>
      <c r="B2" s="24"/>
      <c r="C2" s="24"/>
      <c r="D2" s="24"/>
      <c r="E2" s="24"/>
    </row>
    <row r="3" spans="1:6" ht="22" thickBot="1" x14ac:dyDescent="0.25">
      <c r="A3" s="154" t="s">
        <v>14</v>
      </c>
      <c r="B3" s="155"/>
      <c r="C3" s="155"/>
      <c r="D3" s="155"/>
      <c r="E3" s="156"/>
    </row>
    <row r="4" spans="1:6" ht="20" thickBot="1" x14ac:dyDescent="0.3">
      <c r="A4" s="8"/>
      <c r="B4" s="180" t="s">
        <v>9</v>
      </c>
      <c r="C4" s="186"/>
      <c r="D4" s="157" t="s">
        <v>10</v>
      </c>
      <c r="E4" s="158"/>
    </row>
    <row r="5" spans="1:6" ht="29" x14ac:dyDescent="0.35">
      <c r="A5" s="11" t="s">
        <v>206</v>
      </c>
      <c r="B5" s="183">
        <v>1000</v>
      </c>
      <c r="C5" s="184"/>
      <c r="D5" s="185">
        <f>B5*1.25</f>
        <v>1250</v>
      </c>
      <c r="E5" s="160"/>
    </row>
    <row r="6" spans="1:6" ht="80" customHeight="1" x14ac:dyDescent="0.35">
      <c r="A6" s="11" t="s">
        <v>207</v>
      </c>
      <c r="B6" s="174">
        <v>100</v>
      </c>
      <c r="C6" s="175"/>
      <c r="D6" s="176">
        <f>B6*0.4</f>
        <v>40</v>
      </c>
      <c r="E6" s="177"/>
    </row>
    <row r="7" spans="1:6" ht="22" thickBot="1" x14ac:dyDescent="0.3">
      <c r="A7" s="12" t="s">
        <v>208</v>
      </c>
      <c r="B7" s="171">
        <f>SUM(B5:B6)</f>
        <v>1100</v>
      </c>
      <c r="C7" s="172"/>
      <c r="D7" s="178">
        <f>SUM(D5:D6)</f>
        <v>1290</v>
      </c>
      <c r="E7" s="179"/>
    </row>
    <row r="8" spans="1:6" ht="40" x14ac:dyDescent="0.25">
      <c r="A8" s="13" t="s">
        <v>4</v>
      </c>
      <c r="B8" s="111" t="s">
        <v>3</v>
      </c>
      <c r="C8" s="112" t="s">
        <v>0</v>
      </c>
      <c r="D8" s="7" t="s">
        <v>1</v>
      </c>
      <c r="E8" s="14" t="s">
        <v>11</v>
      </c>
      <c r="F8" s="3"/>
    </row>
    <row r="9" spans="1:6" ht="22" thickBot="1" x14ac:dyDescent="0.3">
      <c r="A9" s="15">
        <f>B6/B5</f>
        <v>0.1</v>
      </c>
      <c r="B9" s="9">
        <f>B5*0.416667</f>
        <v>416.66700000000003</v>
      </c>
      <c r="C9" s="10">
        <f>B6</f>
        <v>100</v>
      </c>
      <c r="D9" s="16" t="str">
        <f>IF(C9&gt;B9, "Candidate to Standard-IA","Optimized")</f>
        <v>Optimized</v>
      </c>
      <c r="E9" s="17">
        <f>0.6*B6 - 0.25*B5</f>
        <v>-190</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54" t="s">
        <v>15</v>
      </c>
      <c r="B15" s="155"/>
      <c r="C15" s="155"/>
      <c r="D15" s="155"/>
      <c r="E15" s="156"/>
    </row>
    <row r="16" spans="1:6" ht="20" thickBot="1" x14ac:dyDescent="0.3">
      <c r="A16" s="8"/>
      <c r="B16" s="180" t="s">
        <v>13</v>
      </c>
      <c r="C16" s="138"/>
      <c r="D16" s="180" t="s">
        <v>12</v>
      </c>
      <c r="E16" s="139"/>
    </row>
    <row r="17" spans="1:5" ht="29" x14ac:dyDescent="0.35">
      <c r="A17" s="113" t="s">
        <v>7</v>
      </c>
      <c r="B17" s="181">
        <v>6000</v>
      </c>
      <c r="C17" s="182"/>
      <c r="D17" s="159">
        <f>B17/1.25</f>
        <v>4800</v>
      </c>
      <c r="E17" s="160"/>
    </row>
    <row r="18" spans="1:5" ht="80" customHeight="1" x14ac:dyDescent="0.35">
      <c r="A18" s="113" t="s">
        <v>8</v>
      </c>
      <c r="B18" s="168">
        <v>168</v>
      </c>
      <c r="C18" s="169"/>
      <c r="D18" s="170">
        <f>B18/0.4</f>
        <v>420</v>
      </c>
      <c r="E18" s="143"/>
    </row>
    <row r="19" spans="1:5" ht="22" thickBot="1" x14ac:dyDescent="0.3">
      <c r="A19" s="114" t="s">
        <v>19</v>
      </c>
      <c r="B19" s="171">
        <f>SUM(B17:B18)</f>
        <v>6168</v>
      </c>
      <c r="C19" s="172"/>
      <c r="D19" s="173">
        <f>SUM(D17:D18)</f>
        <v>5220</v>
      </c>
      <c r="E19" s="145"/>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5:C5"/>
    <mergeCell ref="D5:E5"/>
    <mergeCell ref="A3:E3"/>
    <mergeCell ref="B4:C4"/>
    <mergeCell ref="D4:E4"/>
    <mergeCell ref="B18:C18"/>
    <mergeCell ref="D18:E18"/>
    <mergeCell ref="B19:C19"/>
    <mergeCell ref="D19:E19"/>
    <mergeCell ref="B6:C6"/>
    <mergeCell ref="D6:E6"/>
    <mergeCell ref="D7:E7"/>
    <mergeCell ref="B7:C7"/>
    <mergeCell ref="A15:E15"/>
    <mergeCell ref="B16:C16"/>
    <mergeCell ref="D16:E16"/>
    <mergeCell ref="B17:C17"/>
    <mergeCell ref="D17:E17"/>
  </mergeCells>
  <conditionalFormatting sqref="A9">
    <cfRule type="cellIs" dxfId="13" priority="11" stopIfTrue="1" operator="lessThan">
      <formula>0.4166</formula>
    </cfRule>
    <cfRule type="cellIs" dxfId="12" priority="12" stopIfTrue="1" operator="greaterThan">
      <formula>41.66%</formula>
    </cfRule>
    <cfRule type="cellIs" dxfId="11" priority="13" operator="greaterThan">
      <formula>0.1333</formula>
    </cfRule>
    <cfRule type="cellIs" dxfId="10" priority="14" operator="lessThanOrEqual">
      <formula>13.33%</formula>
    </cfRule>
  </conditionalFormatting>
  <conditionalFormatting sqref="A21">
    <cfRule type="cellIs" dxfId="9" priority="3" operator="greaterThan">
      <formula>0.1333</formula>
    </cfRule>
    <cfRule type="cellIs" dxfId="8" priority="4" operator="lessThanOrEqual">
      <formula>13.33%</formula>
    </cfRule>
  </conditionalFormatting>
  <conditionalFormatting sqref="D9">
    <cfRule type="containsText" dxfId="7" priority="9" operator="containsText" text="Candidate">
      <formula>NOT(ISERROR(SEARCH("Candidate",D9)))</formula>
    </cfRule>
    <cfRule type="containsText" dxfId="6" priority="10" stopIfTrue="1" operator="containsText" text="Optimized">
      <formula>NOT(ISERROR(SEARCH("Optimized",D9)))</formula>
    </cfRule>
  </conditionalFormatting>
  <conditionalFormatting sqref="D21">
    <cfRule type="containsText" dxfId="5" priority="1" operator="containsText" text="Optimized">
      <formula>NOT(ISERROR(SEARCH("Optimized",D21)))</formula>
    </cfRule>
    <cfRule type="containsText" dxfId="4" priority="2" operator="containsText" text="Candidate">
      <formula>NOT(ISERROR(SEARCH("Candidate",D21)))</formula>
    </cfRule>
  </conditionalFormatting>
  <conditionalFormatting sqref="E9">
    <cfRule type="cellIs" dxfId="3" priority="7" operator="lessThan">
      <formula>0</formula>
    </cfRule>
    <cfRule type="cellIs" dxfId="2" priority="8" operator="greaterThan">
      <formula>0</formula>
    </cfRule>
  </conditionalFormatting>
  <conditionalFormatting sqref="E21">
    <cfRule type="cellIs" dxfId="1" priority="5" operator="lessThan">
      <formula>0</formula>
    </cfRule>
    <cfRule type="cellIs" dxfId="0"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workbookViewId="0">
      <selection activeCell="A17" sqref="A17"/>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106</v>
      </c>
      <c r="B3" t="s">
        <v>96</v>
      </c>
      <c r="C3" t="s">
        <v>103</v>
      </c>
      <c r="D3" t="s">
        <v>143</v>
      </c>
      <c r="E3" s="27">
        <v>0.25</v>
      </c>
      <c r="F3" s="27">
        <v>0.1</v>
      </c>
      <c r="G3" s="26">
        <v>6.4999999999999997E-4</v>
      </c>
      <c r="H3" s="26">
        <v>1.2999999999999999E-4</v>
      </c>
      <c r="I3" s="26">
        <v>8.0999999999999996E-4</v>
      </c>
      <c r="J3" s="26">
        <v>1.6000000000000001E-4</v>
      </c>
      <c r="K3" s="28">
        <v>1.25</v>
      </c>
      <c r="L3" s="28">
        <v>0.25</v>
      </c>
      <c r="M3" s="28">
        <v>1.56</v>
      </c>
      <c r="N3" s="28">
        <v>0.31</v>
      </c>
      <c r="O3" s="28">
        <f>Table4[[#This Row],[Provisioned_IA- WCU]]/Table4[[#This Row],[Provisioned - WCU]]</f>
        <v>1.2461538461538462</v>
      </c>
      <c r="P3" s="28">
        <f>Table4[[#This Row],[Provisioned_IA- RCU]]/Table4[[#This Row],[Provisioned - RCU]]</f>
        <v>1.2307692307692311</v>
      </c>
      <c r="Q3" s="28">
        <f>Table4[[#This Row],[OD_IA_WRU]]/Table4[[#This Row],[OD_WRU]]</f>
        <v>1.248</v>
      </c>
      <c r="R3" s="28">
        <f>Table4[[#This Row],[OD_IA_RRU]]/Table4[[#This Row],[OD_RRU]]</f>
        <v>1.24</v>
      </c>
      <c r="S3" s="28">
        <f>Table4[[#This Row],[Standard_IA]]/Table4[[#This Row],[Standard]]</f>
        <v>0.4</v>
      </c>
    </row>
    <row r="4" spans="1:19" ht="18" x14ac:dyDescent="0.2">
      <c r="A4" t="s">
        <v>104</v>
      </c>
      <c r="B4" t="s">
        <v>96</v>
      </c>
      <c r="C4" t="s">
        <v>105</v>
      </c>
      <c r="D4" t="s">
        <v>139</v>
      </c>
      <c r="E4" s="27">
        <v>0.28000000000000003</v>
      </c>
      <c r="F4" s="27">
        <v>0.112</v>
      </c>
      <c r="G4" s="26">
        <v>7.2499999999999995E-4</v>
      </c>
      <c r="H4" s="26">
        <v>1.45E-4</v>
      </c>
      <c r="I4" s="26">
        <v>9.0600000000000001E-4</v>
      </c>
      <c r="J4" s="26">
        <v>1.8100000000000001E-4</v>
      </c>
      <c r="K4" s="28">
        <v>1.3942000000000001</v>
      </c>
      <c r="L4" s="28">
        <v>0.27900000000000003</v>
      </c>
      <c r="M4" s="28">
        <v>1.7427999999999999</v>
      </c>
      <c r="N4" s="28">
        <v>0.34899999999999998</v>
      </c>
      <c r="O4" s="28">
        <f>Table4[[#This Row],[Provisioned_IA- WCU]]/Table4[[#This Row],[Provisioned - WCU]]</f>
        <v>1.2496551724137932</v>
      </c>
      <c r="P4" s="28">
        <f>Table4[[#This Row],[Provisioned_IA- RCU]]/Table4[[#This Row],[Provisioned - RCU]]</f>
        <v>1.2482758620689656</v>
      </c>
      <c r="Q4" s="28">
        <f>Table4[[#This Row],[OD_IA_WRU]]/Table4[[#This Row],[OD_WRU]]</f>
        <v>1.2500358628604216</v>
      </c>
      <c r="R4" s="28">
        <f>Table4[[#This Row],[OD_IA_RRU]]/Table4[[#This Row],[OD_RRU]]</f>
        <v>1.25089605734767</v>
      </c>
      <c r="S4" s="28">
        <f>Table4[[#This Row],[Standard_IA]]/Table4[[#This Row],[Standard]]</f>
        <v>0.39999999999999997</v>
      </c>
    </row>
    <row r="5" spans="1:19" ht="18" x14ac:dyDescent="0.2">
      <c r="A5" t="s">
        <v>102</v>
      </c>
      <c r="B5" t="s">
        <v>96</v>
      </c>
      <c r="C5" t="s">
        <v>103</v>
      </c>
      <c r="D5" t="s">
        <v>142</v>
      </c>
      <c r="E5" s="27">
        <v>0.3</v>
      </c>
      <c r="F5" s="27">
        <v>0.12</v>
      </c>
      <c r="G5" s="26">
        <v>7.7999999999999999E-4</v>
      </c>
      <c r="H5" s="26">
        <v>1.56E-4</v>
      </c>
      <c r="I5" s="26">
        <v>9.7499999999999996E-4</v>
      </c>
      <c r="J5" s="26">
        <v>1.95E-4</v>
      </c>
      <c r="K5" s="28">
        <v>1.5</v>
      </c>
      <c r="L5" s="28">
        <v>0.3</v>
      </c>
      <c r="M5" s="28">
        <v>1.875</v>
      </c>
      <c r="N5" s="28">
        <v>0.375</v>
      </c>
      <c r="O5" s="28">
        <f>Table4[[#This Row],[Provisioned_IA- WCU]]/Table4[[#This Row],[Provisioned - WCU]]</f>
        <v>1.25</v>
      </c>
      <c r="P5" s="28">
        <f>Table4[[#This Row],[Provisioned_IA- RCU]]/Table4[[#This Row],[Provisioned - RCU]]</f>
        <v>1.25</v>
      </c>
      <c r="Q5" s="28">
        <f>Table4[[#This Row],[OD_IA_WRU]]/Table4[[#This Row],[OD_WRU]]</f>
        <v>1.25</v>
      </c>
      <c r="R5" s="28">
        <f>Table4[[#This Row],[OD_IA_RRU]]/Table4[[#This Row],[OD_RRU]]</f>
        <v>1.25</v>
      </c>
      <c r="S5" s="28">
        <f>Table4[[#This Row],[Standard_IA]]/Table4[[#This Row],[Standard]]</f>
        <v>0.4</v>
      </c>
    </row>
    <row r="6" spans="1:19" ht="18" x14ac:dyDescent="0.2">
      <c r="A6" t="s">
        <v>101</v>
      </c>
      <c r="B6" t="s">
        <v>96</v>
      </c>
      <c r="C6" t="s">
        <v>99</v>
      </c>
      <c r="D6" t="s">
        <v>154</v>
      </c>
      <c r="E6" s="27">
        <v>0.3</v>
      </c>
      <c r="F6" s="27">
        <v>0.12</v>
      </c>
      <c r="G6" s="26">
        <v>7.7999999999999999E-4</v>
      </c>
      <c r="H6" s="26">
        <v>1.56E-4</v>
      </c>
      <c r="I6" s="26">
        <v>9.7499999999999996E-4</v>
      </c>
      <c r="J6" s="26">
        <v>1.95E-4</v>
      </c>
      <c r="K6" s="28">
        <v>1.5</v>
      </c>
      <c r="L6" s="28">
        <v>0.3</v>
      </c>
      <c r="M6" s="28">
        <v>1.875</v>
      </c>
      <c r="N6" s="28">
        <v>0.375</v>
      </c>
      <c r="O6" s="28">
        <f>Table4[[#This Row],[Provisioned_IA- WCU]]/Table4[[#This Row],[Provisioned - WCU]]</f>
        <v>1.25</v>
      </c>
      <c r="P6" s="28">
        <f>Table4[[#This Row],[Provisioned_IA- RCU]]/Table4[[#This Row],[Provisioned - RCU]]</f>
        <v>1.25</v>
      </c>
      <c r="Q6" s="28">
        <f>Table4[[#This Row],[OD_IA_WRU]]/Table4[[#This Row],[OD_WRU]]</f>
        <v>1.25</v>
      </c>
      <c r="R6" s="28">
        <f>Table4[[#This Row],[OD_IA_RRU]]/Table4[[#This Row],[OD_RRU]]</f>
        <v>1.25</v>
      </c>
      <c r="S6" s="28">
        <f>Table4[[#This Row],[Standard_IA]]/Table4[[#This Row],[Standard]]</f>
        <v>0.4</v>
      </c>
    </row>
    <row r="7" spans="1:19" ht="18" x14ac:dyDescent="0.2">
      <c r="A7" t="s">
        <v>100</v>
      </c>
      <c r="B7" t="s">
        <v>96</v>
      </c>
      <c r="C7" t="s">
        <v>99</v>
      </c>
      <c r="D7" t="s">
        <v>149</v>
      </c>
      <c r="E7" s="27">
        <v>0.25</v>
      </c>
      <c r="F7" s="27">
        <v>0.1</v>
      </c>
      <c r="G7" s="26">
        <v>6.4999999999999997E-4</v>
      </c>
      <c r="H7" s="26">
        <v>1.2999999999999999E-4</v>
      </c>
      <c r="I7" s="26">
        <v>8.0999999999999996E-4</v>
      </c>
      <c r="J7" s="26">
        <v>1.6000000000000001E-4</v>
      </c>
      <c r="K7" s="28">
        <v>1.25</v>
      </c>
      <c r="L7" s="28">
        <v>0.25</v>
      </c>
      <c r="M7" s="28">
        <v>1.56</v>
      </c>
      <c r="N7" s="28">
        <v>0.31</v>
      </c>
      <c r="O7" s="28">
        <f>Table4[[#This Row],[Provisioned_IA- WCU]]/Table4[[#This Row],[Provisioned - WCU]]</f>
        <v>1.2461538461538462</v>
      </c>
      <c r="P7" s="28">
        <f>Table4[[#This Row],[Provisioned_IA- RCU]]/Table4[[#This Row],[Provisioned - RCU]]</f>
        <v>1.2307692307692311</v>
      </c>
      <c r="Q7" s="28">
        <f>Table4[[#This Row],[OD_IA_WRU]]/Table4[[#This Row],[OD_WRU]]</f>
        <v>1.248</v>
      </c>
      <c r="R7" s="28">
        <f>Table4[[#This Row],[OD_IA_RRU]]/Table4[[#This Row],[OD_RRU]]</f>
        <v>1.24</v>
      </c>
      <c r="S7" s="28">
        <f>Table4[[#This Row],[Standard_IA]]/Table4[[#This Row],[Standard]]</f>
        <v>0.4</v>
      </c>
    </row>
    <row r="8" spans="1:19" ht="18" x14ac:dyDescent="0.2">
      <c r="A8" t="s">
        <v>98</v>
      </c>
      <c r="B8" t="s">
        <v>96</v>
      </c>
      <c r="C8" t="s">
        <v>97</v>
      </c>
      <c r="D8" t="s">
        <v>137</v>
      </c>
      <c r="E8" s="27">
        <v>0.25</v>
      </c>
      <c r="F8" s="27">
        <v>0.1</v>
      </c>
      <c r="G8" s="26">
        <v>6.4999999999999997E-4</v>
      </c>
      <c r="H8" s="26">
        <v>1.2999999999999999E-4</v>
      </c>
      <c r="I8" s="26">
        <v>8.0999999999999996E-4</v>
      </c>
      <c r="J8" s="26">
        <v>1.6000000000000001E-4</v>
      </c>
      <c r="K8" s="28">
        <v>1.25</v>
      </c>
      <c r="L8" s="28">
        <v>0.25</v>
      </c>
      <c r="M8" s="28">
        <v>1.56</v>
      </c>
      <c r="N8" s="28">
        <v>0.31</v>
      </c>
      <c r="O8" s="28">
        <f>Table4[[#This Row],[Provisioned_IA- WCU]]/Table4[[#This Row],[Provisioned - WCU]]</f>
        <v>1.2461538461538462</v>
      </c>
      <c r="P8" s="28">
        <f>Table4[[#This Row],[Provisioned_IA- RCU]]/Table4[[#This Row],[Provisioned - RCU]]</f>
        <v>1.2307692307692311</v>
      </c>
      <c r="Q8" s="28">
        <f>Table4[[#This Row],[OD_IA_WRU]]/Table4[[#This Row],[OD_WRU]]</f>
        <v>1.248</v>
      </c>
      <c r="R8" s="28">
        <f>Table4[[#This Row],[OD_IA_RRU]]/Table4[[#This Row],[OD_RRU]]</f>
        <v>1.24</v>
      </c>
      <c r="S8" s="28">
        <f>Table4[[#This Row],[Standard_IA]]/Table4[[#This Row],[Standard]]</f>
        <v>0.4</v>
      </c>
    </row>
    <row r="9" spans="1:19" ht="18" x14ac:dyDescent="0.2">
      <c r="A9" t="s">
        <v>93</v>
      </c>
      <c r="B9" t="s">
        <v>94</v>
      </c>
      <c r="C9" t="s">
        <v>95</v>
      </c>
      <c r="D9" t="s">
        <v>144</v>
      </c>
      <c r="E9" s="27">
        <v>0.375</v>
      </c>
      <c r="F9" s="27">
        <v>0.15</v>
      </c>
      <c r="G9" s="26">
        <v>9.7499999999999996E-4</v>
      </c>
      <c r="H9" s="26">
        <v>1.95E-4</v>
      </c>
      <c r="I9" s="26">
        <v>1.219E-3</v>
      </c>
      <c r="J9" s="26">
        <v>2.4399999999999999E-4</v>
      </c>
      <c r="K9" s="28">
        <v>1.875</v>
      </c>
      <c r="L9" s="28">
        <v>0.375</v>
      </c>
      <c r="M9" s="28">
        <v>2.3439999999999999</v>
      </c>
      <c r="N9" s="28">
        <v>0.46899999999999997</v>
      </c>
      <c r="O9" s="28">
        <f>Table4[[#This Row],[Provisioned_IA- WCU]]/Table4[[#This Row],[Provisioned - WCU]]</f>
        <v>1.2502564102564104</v>
      </c>
      <c r="P9" s="28">
        <f>Table4[[#This Row],[Provisioned_IA- RCU]]/Table4[[#This Row],[Provisioned - RCU]]</f>
        <v>1.2512820512820513</v>
      </c>
      <c r="Q9" s="28">
        <f>Table4[[#This Row],[OD_IA_WRU]]/Table4[[#This Row],[OD_WRU]]</f>
        <v>1.2501333333333333</v>
      </c>
      <c r="R9" s="28">
        <f>Table4[[#This Row],[OD_IA_RRU]]/Table4[[#This Row],[OD_RRU]]</f>
        <v>1.2506666666666666</v>
      </c>
      <c r="S9" s="28">
        <f>Table4[[#This Row],[Standard_IA]]/Table4[[#This Row],[Standard]]</f>
        <v>0.39999999999999997</v>
      </c>
    </row>
    <row r="10" spans="1:19" ht="18" x14ac:dyDescent="0.2">
      <c r="A10" t="s">
        <v>91</v>
      </c>
      <c r="B10" t="s">
        <v>92</v>
      </c>
      <c r="C10" t="s">
        <v>92</v>
      </c>
      <c r="D10" t="s">
        <v>157</v>
      </c>
      <c r="E10" s="27">
        <v>0.31130000000000002</v>
      </c>
      <c r="F10" s="27">
        <v>0.1245</v>
      </c>
      <c r="G10" s="26">
        <v>8.0849999999999997E-4</v>
      </c>
      <c r="H10" s="26">
        <v>1.617E-4</v>
      </c>
      <c r="I10" s="26">
        <v>1.0106E-3</v>
      </c>
      <c r="J10" s="26">
        <v>2.0210000000000001E-4</v>
      </c>
      <c r="K10" s="28">
        <v>1.5548999999999999</v>
      </c>
      <c r="L10" s="28">
        <v>0.311</v>
      </c>
      <c r="M10" s="28">
        <v>1.9436</v>
      </c>
      <c r="N10" s="28">
        <v>0.38900000000000001</v>
      </c>
      <c r="O10" s="28">
        <f>Table4[[#This Row],[Provisioned_IA- WCU]]/Table4[[#This Row],[Provisioned - WCU]]</f>
        <v>1.2499690785405071</v>
      </c>
      <c r="P10" s="28">
        <f>Table4[[#This Row],[Provisioned_IA- RCU]]/Table4[[#This Row],[Provisioned - RCU]]</f>
        <v>1.2498453927025357</v>
      </c>
      <c r="Q10" s="28">
        <f>Table4[[#This Row],[OD_IA_WRU]]/Table4[[#This Row],[OD_WRU]]</f>
        <v>1.2499839217956139</v>
      </c>
      <c r="R10" s="28">
        <f>Table4[[#This Row],[OD_IA_RRU]]/Table4[[#This Row],[OD_RRU]]</f>
        <v>1.2508038585209003</v>
      </c>
      <c r="S10" s="28">
        <f>Table4[[#This Row],[Standard_IA]]/Table4[[#This Row],[Standard]]</f>
        <v>0.39993575329264375</v>
      </c>
    </row>
    <row r="11" spans="1:19" ht="18" x14ac:dyDescent="0.2">
      <c r="A11" t="s">
        <v>88</v>
      </c>
      <c r="B11" t="s">
        <v>89</v>
      </c>
      <c r="C11" t="s">
        <v>90</v>
      </c>
      <c r="D11" t="s">
        <v>161</v>
      </c>
      <c r="E11" s="27">
        <v>0.31130000000000002</v>
      </c>
      <c r="F11" s="27">
        <v>0.12452000000000001</v>
      </c>
      <c r="G11" s="26">
        <v>8.0849999999999997E-4</v>
      </c>
      <c r="H11" s="26">
        <v>1.617E-4</v>
      </c>
      <c r="I11" s="26">
        <v>1.0108999999999999E-3</v>
      </c>
      <c r="J11" s="26">
        <v>2.0239999999999999E-4</v>
      </c>
      <c r="K11" s="28">
        <v>1.5509999999999999</v>
      </c>
      <c r="L11" s="28">
        <v>0.31130000000000002</v>
      </c>
      <c r="M11" s="28">
        <v>1.9470000000000001</v>
      </c>
      <c r="N11" s="28">
        <v>0.38940000000000002</v>
      </c>
      <c r="O11" s="28">
        <f>Table4[[#This Row],[Provisioned_IA- WCU]]/Table4[[#This Row],[Provisioned - WCU]]</f>
        <v>1.2503401360544217</v>
      </c>
      <c r="P11" s="28">
        <f>Table4[[#This Row],[Provisioned_IA- RCU]]/Table4[[#This Row],[Provisioned - RCU]]</f>
        <v>1.2517006802721087</v>
      </c>
      <c r="Q11" s="28">
        <f>Table4[[#This Row],[OD_IA_WRU]]/Table4[[#This Row],[OD_WRU]]</f>
        <v>1.2553191489361704</v>
      </c>
      <c r="R11" s="28">
        <f>Table4[[#This Row],[OD_IA_RRU]]/Table4[[#This Row],[OD_RRU]]</f>
        <v>1.2508833922261484</v>
      </c>
      <c r="S11" s="28">
        <f>Table4[[#This Row],[Standard_IA]]/Table4[[#This Row],[Standard]]</f>
        <v>0.39999999999999997</v>
      </c>
    </row>
    <row r="12" spans="1:19" ht="18" x14ac:dyDescent="0.2">
      <c r="A12" t="s">
        <v>85</v>
      </c>
      <c r="B12" t="s">
        <v>86</v>
      </c>
      <c r="C12" t="s">
        <v>87</v>
      </c>
      <c r="D12" t="s">
        <v>166</v>
      </c>
      <c r="E12" s="27">
        <v>0.33960000000000001</v>
      </c>
      <c r="F12" s="27">
        <v>0.13583999999999999</v>
      </c>
      <c r="G12" s="26">
        <v>8.8199999999999997E-4</v>
      </c>
      <c r="H12" s="26">
        <v>1.7640000000000001E-4</v>
      </c>
      <c r="I12" s="26">
        <v>1.1027999999999999E-3</v>
      </c>
      <c r="J12" s="26">
        <v>2.208E-4</v>
      </c>
      <c r="K12" s="28">
        <v>1.6961999999999999</v>
      </c>
      <c r="L12" s="28">
        <v>0.33960000000000001</v>
      </c>
      <c r="M12" s="28">
        <v>2.1202999999999999</v>
      </c>
      <c r="N12" s="28">
        <v>0.35399999999999998</v>
      </c>
      <c r="O12" s="28">
        <f>Table4[[#This Row],[Provisioned_IA- WCU]]/Table4[[#This Row],[Provisioned - WCU]]</f>
        <v>1.2503401360544217</v>
      </c>
      <c r="P12" s="28">
        <f>Table4[[#This Row],[Provisioned_IA- RCU]]/Table4[[#This Row],[Provisioned - RCU]]</f>
        <v>1.2517006802721089</v>
      </c>
      <c r="Q12" s="28">
        <f>Table4[[#This Row],[OD_IA_WRU]]/Table4[[#This Row],[OD_WRU]]</f>
        <v>1.2500294776559369</v>
      </c>
      <c r="R12" s="28">
        <f>Table4[[#This Row],[OD_IA_RRU]]/Table4[[#This Row],[OD_RRU]]</f>
        <v>1.0424028268551235</v>
      </c>
      <c r="S12" s="28">
        <f>Table4[[#This Row],[Standard_IA]]/Table4[[#This Row],[Standard]]</f>
        <v>0.39999999999999997</v>
      </c>
    </row>
    <row r="13" spans="1:19" ht="18" x14ac:dyDescent="0.2">
      <c r="A13" t="s">
        <v>82</v>
      </c>
      <c r="B13" t="s">
        <v>83</v>
      </c>
      <c r="C13" t="s">
        <v>84</v>
      </c>
      <c r="D13" t="s">
        <v>152</v>
      </c>
      <c r="E13" s="27">
        <v>0.29715000000000003</v>
      </c>
      <c r="F13" s="27">
        <v>0.11885999999999999</v>
      </c>
      <c r="G13" s="26">
        <v>7.7200000000000001E-4</v>
      </c>
      <c r="H13" s="26">
        <v>1.5440000000000001E-4</v>
      </c>
      <c r="I13" s="26">
        <v>9.6500000000000004E-4</v>
      </c>
      <c r="J13" s="26">
        <v>1.93E-4</v>
      </c>
      <c r="K13" s="28">
        <v>1.4845999999999999</v>
      </c>
      <c r="L13" s="28">
        <v>0.29699999999999999</v>
      </c>
      <c r="M13" s="28">
        <v>1.8557999999999999</v>
      </c>
      <c r="N13" s="28">
        <v>0.371</v>
      </c>
      <c r="O13" s="28">
        <f>Table4[[#This Row],[Provisioned_IA- WCU]]/Table4[[#This Row],[Provisioned - WCU]]</f>
        <v>1.25</v>
      </c>
      <c r="P13" s="28">
        <f>Table4[[#This Row],[Provisioned_IA- RCU]]/Table4[[#This Row],[Provisioned - RCU]]</f>
        <v>1.25</v>
      </c>
      <c r="Q13" s="28">
        <f>Table4[[#This Row],[OD_IA_WRU]]/Table4[[#This Row],[OD_WRU]]</f>
        <v>1.2500336791054829</v>
      </c>
      <c r="R13" s="28">
        <f>Table4[[#This Row],[OD_IA_RRU]]/Table4[[#This Row],[OD_RRU]]</f>
        <v>1.2491582491582491</v>
      </c>
      <c r="S13" s="28">
        <f>Table4[[#This Row],[Standard_IA]]/Table4[[#This Row],[Standard]]</f>
        <v>0.39999999999999997</v>
      </c>
    </row>
    <row r="14" spans="1:19" ht="18" x14ac:dyDescent="0.2">
      <c r="A14" t="s">
        <v>79</v>
      </c>
      <c r="B14" t="s">
        <v>80</v>
      </c>
      <c r="C14" t="s">
        <v>81</v>
      </c>
      <c r="D14" t="s">
        <v>151</v>
      </c>
      <c r="E14" s="27">
        <v>0.29715000000000003</v>
      </c>
      <c r="F14" s="27">
        <v>0.11885999999999999</v>
      </c>
      <c r="G14" s="26">
        <v>7.7200000000000001E-4</v>
      </c>
      <c r="H14" s="26">
        <v>1.5440000000000001E-4</v>
      </c>
      <c r="I14" s="26">
        <v>9.6500000000000004E-4</v>
      </c>
      <c r="J14" s="26">
        <v>1.93E-4</v>
      </c>
      <c r="K14" s="28">
        <v>1.4845999999999999</v>
      </c>
      <c r="L14" s="28">
        <v>0.29699999999999999</v>
      </c>
      <c r="M14" s="28">
        <v>1.8557999999999999</v>
      </c>
      <c r="N14" s="28">
        <v>0.371</v>
      </c>
      <c r="O14" s="28">
        <f>Table4[[#This Row],[Provisioned_IA- WCU]]/Table4[[#This Row],[Provisioned - WCU]]</f>
        <v>1.25</v>
      </c>
      <c r="P14" s="28">
        <f>Table4[[#This Row],[Provisioned_IA- RCU]]/Table4[[#This Row],[Provisioned - RCU]]</f>
        <v>1.25</v>
      </c>
      <c r="Q14" s="28">
        <f>Table4[[#This Row],[OD_IA_WRU]]/Table4[[#This Row],[OD_WRU]]</f>
        <v>1.2500336791054829</v>
      </c>
      <c r="R14" s="28">
        <f>Table4[[#This Row],[OD_IA_RRU]]/Table4[[#This Row],[OD_RRU]]</f>
        <v>1.2491582491582491</v>
      </c>
      <c r="S14" s="28">
        <f>Table4[[#This Row],[Standard_IA]]/Table4[[#This Row],[Standard]]</f>
        <v>0.39999999999999997</v>
      </c>
    </row>
    <row r="15" spans="1:19" ht="18" x14ac:dyDescent="0.2">
      <c r="A15" t="s">
        <v>76</v>
      </c>
      <c r="B15" t="s">
        <v>77</v>
      </c>
      <c r="C15" t="s">
        <v>78</v>
      </c>
      <c r="D15" t="s">
        <v>138</v>
      </c>
      <c r="E15" s="27">
        <v>0.28299999999999997</v>
      </c>
      <c r="F15" s="27">
        <v>0.1132</v>
      </c>
      <c r="G15" s="26">
        <v>7.3499999999999998E-4</v>
      </c>
      <c r="H15" s="26">
        <v>1.47E-4</v>
      </c>
      <c r="I15" s="26">
        <v>9.19E-4</v>
      </c>
      <c r="J15" s="26">
        <v>1.84E-4</v>
      </c>
      <c r="K15" s="28">
        <v>1.4135</v>
      </c>
      <c r="L15" s="28">
        <v>0.28299999999999997</v>
      </c>
      <c r="M15" s="28">
        <v>1.7668999999999999</v>
      </c>
      <c r="N15" s="28">
        <v>0.35399999999999998</v>
      </c>
      <c r="O15" s="28">
        <f>Table4[[#This Row],[Provisioned_IA- WCU]]/Table4[[#This Row],[Provisioned - WCU]]</f>
        <v>1.2503401360544217</v>
      </c>
      <c r="P15" s="28">
        <f>Table4[[#This Row],[Provisioned_IA- RCU]]/Table4[[#This Row],[Provisioned - RCU]]</f>
        <v>1.2517006802721089</v>
      </c>
      <c r="Q15" s="28">
        <f>Table4[[#This Row],[OD_IA_WRU]]/Table4[[#This Row],[OD_WRU]]</f>
        <v>1.2500176865935619</v>
      </c>
      <c r="R15" s="28">
        <f>Table4[[#This Row],[OD_IA_RRU]]/Table4[[#This Row],[OD_RRU]]</f>
        <v>1.2508833922261484</v>
      </c>
      <c r="S15" s="28">
        <f>Table4[[#This Row],[Standard_IA]]/Table4[[#This Row],[Standard]]</f>
        <v>0.4</v>
      </c>
    </row>
    <row r="16" spans="1:19" ht="18" x14ac:dyDescent="0.2">
      <c r="A16" t="s">
        <v>73</v>
      </c>
      <c r="B16" t="s">
        <v>74</v>
      </c>
      <c r="C16" t="s">
        <v>75</v>
      </c>
      <c r="D16" t="s">
        <v>163</v>
      </c>
      <c r="E16" s="27">
        <v>0.28299999999999997</v>
      </c>
      <c r="F16" s="27">
        <v>0.1132</v>
      </c>
      <c r="G16" s="26">
        <v>7.3499999999999998E-4</v>
      </c>
      <c r="H16" s="26">
        <v>1.47E-4</v>
      </c>
      <c r="I16" s="26">
        <v>9.19E-4</v>
      </c>
      <c r="J16" s="26">
        <v>1.84E-4</v>
      </c>
      <c r="K16" s="28">
        <v>1.4135</v>
      </c>
      <c r="L16" s="28">
        <v>0.28299999999999997</v>
      </c>
      <c r="M16" s="28">
        <v>1.7668999999999999</v>
      </c>
      <c r="N16" s="28">
        <v>0.35399999999999998</v>
      </c>
      <c r="O16" s="28">
        <f>Table4[[#This Row],[Provisioned_IA- WCU]]/Table4[[#This Row],[Provisioned - WCU]]</f>
        <v>1.2503401360544217</v>
      </c>
      <c r="P16" s="28">
        <f>Table4[[#This Row],[Provisioned_IA- RCU]]/Table4[[#This Row],[Provisioned - RCU]]</f>
        <v>1.2517006802721089</v>
      </c>
      <c r="Q16" s="28">
        <f>Table4[[#This Row],[OD_IA_WRU]]/Table4[[#This Row],[OD_WRU]]</f>
        <v>1.2500176865935619</v>
      </c>
      <c r="R16" s="28">
        <f>Table4[[#This Row],[OD_IA_RRU]]/Table4[[#This Row],[OD_RRU]]</f>
        <v>1.2508833922261484</v>
      </c>
      <c r="S16" s="28">
        <f>Table4[[#This Row],[Standard_IA]]/Table4[[#This Row],[Standard]]</f>
        <v>0.4</v>
      </c>
    </row>
    <row r="17" spans="1:19" ht="18" x14ac:dyDescent="0.2">
      <c r="A17" t="s">
        <v>70</v>
      </c>
      <c r="B17" t="s">
        <v>71</v>
      </c>
      <c r="C17" t="s">
        <v>72</v>
      </c>
      <c r="D17" t="s">
        <v>158</v>
      </c>
      <c r="E17" s="27">
        <v>0.29715000000000003</v>
      </c>
      <c r="F17" s="27">
        <v>0.11885999999999999</v>
      </c>
      <c r="G17" s="26">
        <v>7.7174999999999998E-4</v>
      </c>
      <c r="H17" s="26">
        <v>1.5435000000000001E-4</v>
      </c>
      <c r="I17" s="26">
        <v>9.6469999999999998E-4</v>
      </c>
      <c r="J17" s="26">
        <v>1.93E-4</v>
      </c>
      <c r="K17" s="28">
        <v>1.4842</v>
      </c>
      <c r="L17" s="28">
        <v>0.29680000000000001</v>
      </c>
      <c r="M17" s="28">
        <v>1.8552999999999999</v>
      </c>
      <c r="N17" s="28">
        <v>0.371</v>
      </c>
      <c r="O17" s="28">
        <f>Table4[[#This Row],[Provisioned_IA- WCU]]/Table4[[#This Row],[Provisioned - WCU]]</f>
        <v>1.2500161969549726</v>
      </c>
      <c r="P17" s="28">
        <f>Table4[[#This Row],[Provisioned_IA- RCU]]/Table4[[#This Row],[Provisioned - RCU]]</f>
        <v>1.2504049238743116</v>
      </c>
      <c r="Q17" s="28">
        <f>Table4[[#This Row],[OD_IA_WRU]]/Table4[[#This Row],[OD_WRU]]</f>
        <v>1.2500336881821856</v>
      </c>
      <c r="R17" s="28">
        <f>Table4[[#This Row],[OD_IA_RRU]]/Table4[[#This Row],[OD_RRU]]</f>
        <v>1.25</v>
      </c>
      <c r="S17" s="28">
        <f>Table4[[#This Row],[Standard_IA]]/Table4[[#This Row],[Standard]]</f>
        <v>0.39999999999999997</v>
      </c>
    </row>
    <row r="18" spans="1:19" ht="18" x14ac:dyDescent="0.2">
      <c r="A18" t="s">
        <v>67</v>
      </c>
      <c r="B18" t="s">
        <v>68</v>
      </c>
      <c r="C18" t="s">
        <v>69</v>
      </c>
      <c r="D18" t="s">
        <v>155</v>
      </c>
      <c r="E18" s="27">
        <v>0.26900000000000002</v>
      </c>
      <c r="F18" s="27">
        <v>0.1076</v>
      </c>
      <c r="G18" s="26">
        <v>6.9800000000000005E-4</v>
      </c>
      <c r="H18" s="26">
        <v>1.3999999999999999E-4</v>
      </c>
      <c r="I18" s="26">
        <v>8.7250000000000001E-4</v>
      </c>
      <c r="J18" s="26">
        <v>1.75E-4</v>
      </c>
      <c r="K18" s="28">
        <v>1.3428</v>
      </c>
      <c r="L18" s="28">
        <v>0.26900000000000002</v>
      </c>
      <c r="M18" s="28">
        <v>1.6785000000000001</v>
      </c>
      <c r="N18" s="28">
        <v>0.33600000000000002</v>
      </c>
      <c r="O18" s="28">
        <f>Table4[[#This Row],[Provisioned_IA- WCU]]/Table4[[#This Row],[Provisioned - WCU]]</f>
        <v>1.25</v>
      </c>
      <c r="P18" s="28">
        <f>Table4[[#This Row],[Provisioned_IA- RCU]]/Table4[[#This Row],[Provisioned - RCU]]</f>
        <v>1.25</v>
      </c>
      <c r="Q18" s="28">
        <f>Table4[[#This Row],[OD_IA_WRU]]/Table4[[#This Row],[OD_WRU]]</f>
        <v>1.25</v>
      </c>
      <c r="R18" s="28">
        <f>Table4[[#This Row],[OD_IA_RRU]]/Table4[[#This Row],[OD_RRU]]</f>
        <v>1.2490706319702602</v>
      </c>
      <c r="S18" s="28">
        <f>Table4[[#This Row],[Standard_IA]]/Table4[[#This Row],[Standard]]</f>
        <v>0.39999999999999997</v>
      </c>
    </row>
    <row r="19" spans="1:19" ht="18" x14ac:dyDescent="0.2">
      <c r="A19" t="s">
        <v>64</v>
      </c>
      <c r="B19" t="s">
        <v>65</v>
      </c>
      <c r="C19" t="s">
        <v>66</v>
      </c>
      <c r="D19" t="s">
        <v>162</v>
      </c>
      <c r="E19" s="27">
        <v>0.33660000000000001</v>
      </c>
      <c r="F19" s="27">
        <v>0.13464000000000001</v>
      </c>
      <c r="G19" s="26">
        <v>8.7200000000000005E-4</v>
      </c>
      <c r="H19" s="26">
        <v>1.75E-4</v>
      </c>
      <c r="I19" s="26">
        <v>1.0901000000000001E-3</v>
      </c>
      <c r="J19" s="26">
        <v>2.1800000000000001E-4</v>
      </c>
      <c r="K19" s="28">
        <v>1.67</v>
      </c>
      <c r="L19" s="28">
        <v>0.33600000000000002</v>
      </c>
      <c r="M19" s="28">
        <v>2.101</v>
      </c>
      <c r="N19" s="28">
        <v>0.41899999999999998</v>
      </c>
      <c r="O19" s="28">
        <f>Table4[[#This Row],[Provisioned_IA- WCU]]/Table4[[#This Row],[Provisioned - WCU]]</f>
        <v>1.2501146788990827</v>
      </c>
      <c r="P19" s="28">
        <f>Table4[[#This Row],[Provisioned_IA- RCU]]/Table4[[#This Row],[Provisioned - RCU]]</f>
        <v>1.2457142857142858</v>
      </c>
      <c r="Q19" s="28">
        <f>Table4[[#This Row],[OD_IA_WRU]]/Table4[[#This Row],[OD_WRU]]</f>
        <v>1.2580838323353294</v>
      </c>
      <c r="R19" s="28">
        <f>Table4[[#This Row],[OD_IA_RRU]]/Table4[[#This Row],[OD_RRU]]</f>
        <v>1.2470238095238093</v>
      </c>
      <c r="S19" s="28">
        <f>Table4[[#This Row],[Standard_IA]]/Table4[[#This Row],[Standard]]</f>
        <v>0.4</v>
      </c>
    </row>
    <row r="20" spans="1:19" ht="18" x14ac:dyDescent="0.2">
      <c r="A20" t="s">
        <v>62</v>
      </c>
      <c r="B20" t="s">
        <v>61</v>
      </c>
      <c r="C20" t="s">
        <v>63</v>
      </c>
      <c r="D20" t="s">
        <v>146</v>
      </c>
      <c r="E20" s="27">
        <v>0.30599999999999999</v>
      </c>
      <c r="F20" s="27">
        <v>0.12239999999999999</v>
      </c>
      <c r="G20" s="26">
        <v>7.9299999999999998E-4</v>
      </c>
      <c r="H20" s="26">
        <v>1.5860000000000001E-4</v>
      </c>
      <c r="I20" s="26">
        <v>9.9099999999999991E-4</v>
      </c>
      <c r="J20" s="26">
        <v>1.983E-4</v>
      </c>
      <c r="K20" s="28">
        <v>1.5249999999999999</v>
      </c>
      <c r="L20" s="28">
        <v>0.30499999999999999</v>
      </c>
      <c r="M20" s="28">
        <v>1.91</v>
      </c>
      <c r="N20" s="28">
        <v>0.38100000000000001</v>
      </c>
      <c r="O20" s="28">
        <f>Table4[[#This Row],[Provisioned_IA- WCU]]/Table4[[#This Row],[Provisioned - WCU]]</f>
        <v>1.2496847414880201</v>
      </c>
      <c r="P20" s="28">
        <f>Table4[[#This Row],[Provisioned_IA- RCU]]/Table4[[#This Row],[Provisioned - RCU]]</f>
        <v>1.2503152585119797</v>
      </c>
      <c r="Q20" s="28">
        <f>Table4[[#This Row],[OD_IA_WRU]]/Table4[[#This Row],[OD_WRU]]</f>
        <v>1.2524590163934426</v>
      </c>
      <c r="R20" s="28">
        <f>Table4[[#This Row],[OD_IA_RRU]]/Table4[[#This Row],[OD_RRU]]</f>
        <v>1.2491803278688525</v>
      </c>
      <c r="S20" s="28">
        <f>Table4[[#This Row],[Standard_IA]]/Table4[[#This Row],[Standard]]</f>
        <v>0.39999999999999997</v>
      </c>
    </row>
    <row r="21" spans="1:19" ht="18" x14ac:dyDescent="0.2">
      <c r="A21" t="s">
        <v>59</v>
      </c>
      <c r="B21" t="s">
        <v>57</v>
      </c>
      <c r="C21" t="s">
        <v>60</v>
      </c>
      <c r="D21" t="s">
        <v>167</v>
      </c>
      <c r="E21" s="27">
        <v>0.27500000000000002</v>
      </c>
      <c r="F21" s="27">
        <v>0.11</v>
      </c>
      <c r="G21" s="26">
        <v>7.1500000000000003E-4</v>
      </c>
      <c r="H21" s="26">
        <v>1.4300000000000001E-4</v>
      </c>
      <c r="I21" s="26">
        <v>8.9400000000000005E-4</v>
      </c>
      <c r="J21" s="26">
        <v>1.7899999999999999E-4</v>
      </c>
      <c r="K21" s="28">
        <v>1.375</v>
      </c>
      <c r="L21" s="28">
        <v>0.27500000000000002</v>
      </c>
      <c r="M21" s="28">
        <v>1.7190000000000001</v>
      </c>
      <c r="N21" s="28">
        <v>0.34399999999999997</v>
      </c>
      <c r="O21" s="28">
        <f>Table4[[#This Row],[Provisioned_IA- WCU]]/Table4[[#This Row],[Provisioned - WCU]]</f>
        <v>1.2503496503496503</v>
      </c>
      <c r="P21" s="28">
        <f>Table4[[#This Row],[Provisioned_IA- RCU]]/Table4[[#This Row],[Provisioned - RCU]]</f>
        <v>1.2517482517482517</v>
      </c>
      <c r="Q21" s="28">
        <f>Table4[[#This Row],[OD_IA_WRU]]/Table4[[#This Row],[OD_WRU]]</f>
        <v>1.2501818181818183</v>
      </c>
      <c r="R21" s="28">
        <f>Table4[[#This Row],[OD_IA_RRU]]/Table4[[#This Row],[OD_RRU]]</f>
        <v>1.2509090909090907</v>
      </c>
      <c r="S21" s="28">
        <f>Table4[[#This Row],[Standard_IA]]/Table4[[#This Row],[Standard]]</f>
        <v>0.39999999999999997</v>
      </c>
    </row>
    <row r="22" spans="1:19" ht="18" x14ac:dyDescent="0.2">
      <c r="A22" t="s">
        <v>56</v>
      </c>
      <c r="B22" t="s">
        <v>57</v>
      </c>
      <c r="C22" t="s">
        <v>58</v>
      </c>
      <c r="D22" t="s">
        <v>150</v>
      </c>
      <c r="E22" s="27">
        <v>0.27500000000000002</v>
      </c>
      <c r="F22" s="27">
        <v>0.11</v>
      </c>
      <c r="G22" s="26">
        <v>7.1500000000000003E-4</v>
      </c>
      <c r="H22" s="26">
        <v>1.4300000000000001E-4</v>
      </c>
      <c r="I22" s="26">
        <v>8.9400000000000005E-4</v>
      </c>
      <c r="J22" s="26">
        <v>1.7899999999999999E-4</v>
      </c>
      <c r="K22" s="28">
        <v>1.375</v>
      </c>
      <c r="L22" s="28">
        <v>0.27500000000000002</v>
      </c>
      <c r="M22" s="28">
        <v>1.7190000000000001</v>
      </c>
      <c r="N22" s="28">
        <v>0.34399999999999997</v>
      </c>
      <c r="O22" s="28">
        <f>Table4[[#This Row],[Provisioned_IA- WCU]]/Table4[[#This Row],[Provisioned - WCU]]</f>
        <v>1.2503496503496503</v>
      </c>
      <c r="P22" s="28">
        <f>Table4[[#This Row],[Provisioned_IA- RCU]]/Table4[[#This Row],[Provisioned - RCU]]</f>
        <v>1.2517482517482517</v>
      </c>
      <c r="Q22" s="28">
        <f>Table4[[#This Row],[OD_IA_WRU]]/Table4[[#This Row],[OD_WRU]]</f>
        <v>1.2501818181818183</v>
      </c>
      <c r="R22" s="28">
        <f>Table4[[#This Row],[OD_IA_RRU]]/Table4[[#This Row],[OD_RRU]]</f>
        <v>1.2509090909090907</v>
      </c>
      <c r="S22" s="28">
        <f>Table4[[#This Row],[Standard_IA]]/Table4[[#This Row],[Standard]]</f>
        <v>0.39999999999999997</v>
      </c>
    </row>
    <row r="23" spans="1:19" ht="18" x14ac:dyDescent="0.2">
      <c r="A23" t="s">
        <v>54</v>
      </c>
      <c r="B23" t="s">
        <v>49</v>
      </c>
      <c r="C23" t="s">
        <v>55</v>
      </c>
      <c r="D23" t="s">
        <v>165</v>
      </c>
      <c r="E23" s="27">
        <v>0.28499999999999998</v>
      </c>
      <c r="F23" s="27">
        <v>0.114</v>
      </c>
      <c r="G23" s="26">
        <v>7.3999999999999999E-4</v>
      </c>
      <c r="H23" s="26">
        <v>1.4799999999999999E-4</v>
      </c>
      <c r="I23" s="26">
        <v>9.3000000000000005E-4</v>
      </c>
      <c r="J23" s="26">
        <v>1.8550000000000001E-4</v>
      </c>
      <c r="K23" s="28">
        <v>1.4231</v>
      </c>
      <c r="L23" s="28">
        <v>0.28460000000000002</v>
      </c>
      <c r="M23" s="28">
        <v>1.7788999999999999</v>
      </c>
      <c r="N23" s="28">
        <v>0.35599999999999998</v>
      </c>
      <c r="O23" s="28">
        <f>Table4[[#This Row],[Provisioned_IA- WCU]]/Table4[[#This Row],[Provisioned - WCU]]</f>
        <v>1.2567567567567568</v>
      </c>
      <c r="P23" s="28">
        <f>Table4[[#This Row],[Provisioned_IA- RCU]]/Table4[[#This Row],[Provisioned - RCU]]</f>
        <v>1.2533783783783785</v>
      </c>
      <c r="Q23" s="28">
        <f>Table4[[#This Row],[OD_IA_WRU]]/Table4[[#This Row],[OD_WRU]]</f>
        <v>1.2500175672826925</v>
      </c>
      <c r="R23" s="28">
        <f>Table4[[#This Row],[OD_IA_RRU]]/Table4[[#This Row],[OD_RRU]]</f>
        <v>1.2508784258608572</v>
      </c>
      <c r="S23" s="28">
        <f>Table4[[#This Row],[Standard_IA]]/Table4[[#This Row],[Standard]]</f>
        <v>0.4</v>
      </c>
    </row>
    <row r="24" spans="1:19" ht="18" x14ac:dyDescent="0.2">
      <c r="A24" t="s">
        <v>51</v>
      </c>
      <c r="B24" t="s">
        <v>52</v>
      </c>
      <c r="C24" t="s">
        <v>53</v>
      </c>
      <c r="D24" t="s">
        <v>160</v>
      </c>
      <c r="E24" s="27">
        <v>0.28499999999999998</v>
      </c>
      <c r="F24" s="27">
        <v>0.114</v>
      </c>
      <c r="G24" s="26">
        <v>7.3999999999999999E-4</v>
      </c>
      <c r="H24" s="26">
        <v>1.4799999999999999E-4</v>
      </c>
      <c r="I24" s="26">
        <v>9.3000000000000005E-4</v>
      </c>
      <c r="J24" s="26">
        <v>1.8550000000000001E-4</v>
      </c>
      <c r="K24" s="28">
        <v>1.4231</v>
      </c>
      <c r="L24" s="28">
        <v>0.28460000000000002</v>
      </c>
      <c r="M24" s="28">
        <v>1.7788999999999999</v>
      </c>
      <c r="N24" s="28">
        <v>0.35599999999999998</v>
      </c>
      <c r="O24" s="28">
        <f>Table4[[#This Row],[Provisioned_IA- WCU]]/Table4[[#This Row],[Provisioned - WCU]]</f>
        <v>1.2567567567567568</v>
      </c>
      <c r="P24" s="28">
        <f>Table4[[#This Row],[Provisioned_IA- RCU]]/Table4[[#This Row],[Provisioned - RCU]]</f>
        <v>1.2533783783783785</v>
      </c>
      <c r="Q24" s="28">
        <f>Table4[[#This Row],[OD_IA_WRU]]/Table4[[#This Row],[OD_WRU]]</f>
        <v>1.2500175672826925</v>
      </c>
      <c r="R24" s="28">
        <f>Table4[[#This Row],[OD_IA_RRU]]/Table4[[#This Row],[OD_RRU]]</f>
        <v>1.2508784258608572</v>
      </c>
      <c r="S24" s="28">
        <f>Table4[[#This Row],[Standard_IA]]/Table4[[#This Row],[Standard]]</f>
        <v>0.4</v>
      </c>
    </row>
    <row r="25" spans="1:19" ht="18" x14ac:dyDescent="0.2">
      <c r="A25" t="s">
        <v>48</v>
      </c>
      <c r="B25" t="s">
        <v>49</v>
      </c>
      <c r="C25" t="s">
        <v>50</v>
      </c>
      <c r="D25" t="s">
        <v>145</v>
      </c>
      <c r="E25" s="27">
        <v>0.28499999999999998</v>
      </c>
      <c r="F25" s="27">
        <v>0.114</v>
      </c>
      <c r="G25" s="26">
        <v>7.3999999999999999E-4</v>
      </c>
      <c r="H25" s="26">
        <v>1.4799999999999999E-4</v>
      </c>
      <c r="I25" s="26">
        <v>9.3000000000000005E-4</v>
      </c>
      <c r="J25" s="26">
        <v>1.8550000000000001E-4</v>
      </c>
      <c r="K25" s="28">
        <v>1.4231</v>
      </c>
      <c r="L25" s="28">
        <v>0.28460000000000002</v>
      </c>
      <c r="M25" s="28">
        <v>1.7788999999999999</v>
      </c>
      <c r="N25" s="28">
        <v>0.35599999999999998</v>
      </c>
      <c r="O25" s="28">
        <f>Table4[[#This Row],[Provisioned_IA- WCU]]/Table4[[#This Row],[Provisioned - WCU]]</f>
        <v>1.2567567567567568</v>
      </c>
      <c r="P25" s="28">
        <f>Table4[[#This Row],[Provisioned_IA- RCU]]/Table4[[#This Row],[Provisioned - RCU]]</f>
        <v>1.2533783783783785</v>
      </c>
      <c r="Q25" s="28">
        <f>Table4[[#This Row],[OD_IA_WRU]]/Table4[[#This Row],[OD_WRU]]</f>
        <v>1.2500175672826925</v>
      </c>
      <c r="R25" s="28">
        <f>Table4[[#This Row],[OD_IA_RRU]]/Table4[[#This Row],[OD_RRU]]</f>
        <v>1.2508784258608572</v>
      </c>
      <c r="S25" s="28">
        <f>Table4[[#This Row],[Standard_IA]]/Table4[[#This Row],[Standard]]</f>
        <v>0.4</v>
      </c>
    </row>
    <row r="26" spans="1:19" ht="18" x14ac:dyDescent="0.2">
      <c r="A26" t="s">
        <v>47</v>
      </c>
      <c r="B26" t="s">
        <v>45</v>
      </c>
      <c r="C26" t="s">
        <v>46</v>
      </c>
      <c r="D26" t="s">
        <v>140</v>
      </c>
      <c r="E26" s="27">
        <v>0.28499999999999998</v>
      </c>
      <c r="F26" s="27">
        <v>0.114</v>
      </c>
      <c r="G26" s="26">
        <v>7.3999999999999999E-4</v>
      </c>
      <c r="H26" s="26">
        <v>1.4799999999999999E-4</v>
      </c>
      <c r="I26" s="26">
        <v>9.3000000000000005E-4</v>
      </c>
      <c r="J26" s="26">
        <v>1.8550000000000001E-4</v>
      </c>
      <c r="K26" s="28">
        <v>1.4231</v>
      </c>
      <c r="L26" s="28">
        <v>0.28499999999999998</v>
      </c>
      <c r="M26" s="28">
        <v>1.7788999999999999</v>
      </c>
      <c r="N26" s="28">
        <v>0.35599999999999998</v>
      </c>
      <c r="O26" s="28">
        <f>Table4[[#This Row],[Provisioned_IA- WCU]]/Table4[[#This Row],[Provisioned - WCU]]</f>
        <v>1.2567567567567568</v>
      </c>
      <c r="P26" s="28">
        <f>Table4[[#This Row],[Provisioned_IA- RCU]]/Table4[[#This Row],[Provisioned - RCU]]</f>
        <v>1.2533783783783785</v>
      </c>
      <c r="Q26" s="28">
        <f>Table4[[#This Row],[OD_IA_WRU]]/Table4[[#This Row],[OD_WRU]]</f>
        <v>1.2500175672826925</v>
      </c>
      <c r="R26" s="28">
        <f>Table4[[#This Row],[OD_IA_RRU]]/Table4[[#This Row],[OD_RRU]]</f>
        <v>1.249122807017544</v>
      </c>
      <c r="S26" s="28">
        <f>Table4[[#This Row],[Standard_IA]]/Table4[[#This Row],[Standard]]</f>
        <v>0.4</v>
      </c>
    </row>
    <row r="27" spans="1:19" ht="18" x14ac:dyDescent="0.2">
      <c r="A27" t="s">
        <v>43</v>
      </c>
      <c r="B27" t="s">
        <v>40</v>
      </c>
      <c r="C27" t="s">
        <v>44</v>
      </c>
      <c r="D27" t="s">
        <v>164</v>
      </c>
      <c r="E27" s="27">
        <v>0.28499999999999998</v>
      </c>
      <c r="F27" s="27">
        <v>0.114</v>
      </c>
      <c r="G27" s="26">
        <v>7.3999999999999999E-4</v>
      </c>
      <c r="H27" s="26">
        <v>1.4799999999999999E-4</v>
      </c>
      <c r="I27" s="26">
        <v>9.3000000000000005E-4</v>
      </c>
      <c r="J27" s="26">
        <v>1.85E-4</v>
      </c>
      <c r="K27" s="28">
        <v>1.42</v>
      </c>
      <c r="L27" s="28">
        <v>0.28499999999999998</v>
      </c>
      <c r="M27" s="28">
        <v>1.78</v>
      </c>
      <c r="N27" s="28">
        <v>0.35599999999999998</v>
      </c>
      <c r="O27" s="28">
        <f>Table4[[#This Row],[Provisioned_IA- WCU]]/Table4[[#This Row],[Provisioned - WCU]]</f>
        <v>1.2567567567567568</v>
      </c>
      <c r="P27" s="28">
        <f>Table4[[#This Row],[Provisioned_IA- RCU]]/Table4[[#This Row],[Provisioned - RCU]]</f>
        <v>1.25</v>
      </c>
      <c r="Q27" s="28">
        <f>Table4[[#This Row],[OD_IA_WRU]]/Table4[[#This Row],[OD_WRU]]</f>
        <v>1.2535211267605635</v>
      </c>
      <c r="R27" s="28">
        <f>Table4[[#This Row],[OD_IA_RRU]]/Table4[[#This Row],[OD_RRU]]</f>
        <v>1.249122807017544</v>
      </c>
      <c r="S27" s="28">
        <f>Table4[[#This Row],[Standard_IA]]/Table4[[#This Row],[Standard]]</f>
        <v>0.4</v>
      </c>
    </row>
    <row r="28" spans="1:19" ht="18" x14ac:dyDescent="0.2">
      <c r="A28" t="s">
        <v>42</v>
      </c>
      <c r="B28" t="s">
        <v>40</v>
      </c>
      <c r="C28" t="s">
        <v>41</v>
      </c>
      <c r="D28" t="s">
        <v>148</v>
      </c>
      <c r="E28" s="27">
        <v>0.28499999999999998</v>
      </c>
      <c r="F28" s="27">
        <v>0.114</v>
      </c>
      <c r="G28" s="26">
        <v>7.3999999999999999E-4</v>
      </c>
      <c r="H28" s="26">
        <v>1.4799999999999999E-4</v>
      </c>
      <c r="I28" s="26">
        <v>9.3000000000000005E-4</v>
      </c>
      <c r="J28" s="26">
        <v>1.85E-4</v>
      </c>
      <c r="K28" s="28">
        <v>1.4231</v>
      </c>
      <c r="L28" s="28">
        <v>0.28499999999999998</v>
      </c>
      <c r="M28" s="28">
        <v>1.7788999999999999</v>
      </c>
      <c r="N28" s="28">
        <v>0.35599999999999998</v>
      </c>
      <c r="O28" s="28">
        <f>Table4[[#This Row],[Provisioned_IA- WCU]]/Table4[[#This Row],[Provisioned - WCU]]</f>
        <v>1.2567567567567568</v>
      </c>
      <c r="P28" s="28">
        <f>Table4[[#This Row],[Provisioned_IA- RCU]]/Table4[[#This Row],[Provisioned - RCU]]</f>
        <v>1.25</v>
      </c>
      <c r="Q28" s="28">
        <f>Table4[[#This Row],[OD_IA_WRU]]/Table4[[#This Row],[OD_WRU]]</f>
        <v>1.2500175672826925</v>
      </c>
      <c r="R28" s="28">
        <f>Table4[[#This Row],[OD_IA_RRU]]/Table4[[#This Row],[OD_RRU]]</f>
        <v>1.249122807017544</v>
      </c>
      <c r="S28" s="28">
        <f>Table4[[#This Row],[Standard_IA]]/Table4[[#This Row],[Standard]]</f>
        <v>0.4</v>
      </c>
    </row>
    <row r="29" spans="1:19" ht="18" x14ac:dyDescent="0.2">
      <c r="A29" t="s">
        <v>39</v>
      </c>
      <c r="B29" t="s">
        <v>34</v>
      </c>
      <c r="C29" t="s">
        <v>35</v>
      </c>
      <c r="D29" t="s">
        <v>153</v>
      </c>
      <c r="E29" s="27">
        <v>0.28499999999999998</v>
      </c>
      <c r="F29" s="27">
        <v>0.114</v>
      </c>
      <c r="G29" s="26">
        <v>7.4200000000000004E-4</v>
      </c>
      <c r="H29" s="26">
        <v>1.484E-4</v>
      </c>
      <c r="I29" s="26">
        <v>9.2800000000000001E-4</v>
      </c>
      <c r="J29" s="26">
        <v>1.8550000000000001E-4</v>
      </c>
      <c r="K29" s="28">
        <v>1.4269000000000001</v>
      </c>
      <c r="L29" s="28">
        <v>0.28499999999999998</v>
      </c>
      <c r="M29" s="28">
        <v>1.7836000000000001</v>
      </c>
      <c r="N29" s="28">
        <v>0.35599999999999998</v>
      </c>
      <c r="O29" s="28">
        <f>Table4[[#This Row],[Provisioned_IA- WCU]]/Table4[[#This Row],[Provisioned - WCU]]</f>
        <v>1.2506738544474394</v>
      </c>
      <c r="P29" s="28">
        <f>Table4[[#This Row],[Provisioned_IA- RCU]]/Table4[[#This Row],[Provisioned - RCU]]</f>
        <v>1.25</v>
      </c>
      <c r="Q29" s="28">
        <f>Table4[[#This Row],[OD_IA_WRU]]/Table4[[#This Row],[OD_WRU]]</f>
        <v>1.2499824795010162</v>
      </c>
      <c r="R29" s="28">
        <f>Table4[[#This Row],[OD_IA_RRU]]/Table4[[#This Row],[OD_RRU]]</f>
        <v>1.249122807017544</v>
      </c>
      <c r="S29" s="28">
        <f>Table4[[#This Row],[Standard_IA]]/Table4[[#This Row],[Standard]]</f>
        <v>0.4</v>
      </c>
    </row>
    <row r="30" spans="1:19" ht="18" x14ac:dyDescent="0.2">
      <c r="A30" t="s">
        <v>36</v>
      </c>
      <c r="B30" t="s">
        <v>37</v>
      </c>
      <c r="C30" t="s">
        <v>38</v>
      </c>
      <c r="D30" t="s">
        <v>147</v>
      </c>
      <c r="E30" s="27">
        <v>0.27074999999999999</v>
      </c>
      <c r="F30" s="27">
        <v>0.10829999999999999</v>
      </c>
      <c r="G30" s="26">
        <v>7.0489999999999995E-4</v>
      </c>
      <c r="H30" s="26">
        <v>1.4098E-4</v>
      </c>
      <c r="I30" s="26">
        <v>8.811E-4</v>
      </c>
      <c r="J30" s="26">
        <v>1.762E-4</v>
      </c>
      <c r="K30" s="28">
        <v>1.3555999999999999</v>
      </c>
      <c r="L30" s="29">
        <v>0.27100000000000002</v>
      </c>
      <c r="M30" s="28">
        <v>1.6944999999999999</v>
      </c>
      <c r="N30" s="28">
        <v>0.33900000000000002</v>
      </c>
      <c r="O30" s="28">
        <f>Table4[[#This Row],[Provisioned_IA- WCU]]/Table4[[#This Row],[Provisioned - WCU]]</f>
        <v>1.2499645339764507</v>
      </c>
      <c r="P30" s="28">
        <f>Table4[[#This Row],[Provisioned_IA- RCU]]/Table4[[#This Row],[Provisioned - RCU]]</f>
        <v>1.2498226698822528</v>
      </c>
      <c r="Q30" s="28">
        <f>Table4[[#This Row],[OD_IA_WRU]]/Table4[[#This Row],[OD_WRU]]</f>
        <v>1.25</v>
      </c>
      <c r="R30" s="28">
        <f>Table4[[#This Row],[OD_IA_RRU]]/Table4[[#This Row],[OD_RRU]]</f>
        <v>1.2509225092250922</v>
      </c>
      <c r="S30" s="28">
        <f>Table4[[#This Row],[Standard_IA]]/Table4[[#This Row],[Standard]]</f>
        <v>0.39999999999999997</v>
      </c>
    </row>
    <row r="31" spans="1:19" ht="18" x14ac:dyDescent="0.2">
      <c r="A31" t="s">
        <v>33</v>
      </c>
      <c r="B31" t="s">
        <v>34</v>
      </c>
      <c r="C31" t="s">
        <v>35</v>
      </c>
      <c r="D31" t="s">
        <v>141</v>
      </c>
      <c r="E31" s="27">
        <v>0.28499999999999998</v>
      </c>
      <c r="F31" s="27">
        <v>0.114</v>
      </c>
      <c r="G31" s="26">
        <v>7.4200000000000004E-4</v>
      </c>
      <c r="H31" s="26">
        <v>1.484E-4</v>
      </c>
      <c r="I31" s="26">
        <v>9.2750000000000005E-4</v>
      </c>
      <c r="J31" s="26">
        <v>1.8550000000000001E-4</v>
      </c>
      <c r="K31" s="28">
        <v>1.4269000000000001</v>
      </c>
      <c r="L31" s="28">
        <v>0.28499999999999998</v>
      </c>
      <c r="M31" s="28">
        <v>1.7836000000000001</v>
      </c>
      <c r="N31" s="28">
        <v>0.35599999999999998</v>
      </c>
      <c r="O31" s="28">
        <f>Table4[[#This Row],[Provisioned_IA- WCU]]/Table4[[#This Row],[Provisioned - WCU]]</f>
        <v>1.25</v>
      </c>
      <c r="P31" s="28">
        <f>Table4[[#This Row],[Provisioned_IA- RCU]]/Table4[[#This Row],[Provisioned - RCU]]</f>
        <v>1.25</v>
      </c>
      <c r="Q31" s="28">
        <f>Table4[[#This Row],[OD_IA_WRU]]/Table4[[#This Row],[OD_WRU]]</f>
        <v>1.2499824795010162</v>
      </c>
      <c r="R31" s="28">
        <f>Table4[[#This Row],[OD_IA_RRU]]/Table4[[#This Row],[OD_RRU]]</f>
        <v>1.249122807017544</v>
      </c>
      <c r="S31" s="28">
        <f>Table4[[#This Row],[Standard_IA]]/Table4[[#This Row],[Standard]]</f>
        <v>0.4</v>
      </c>
    </row>
    <row r="32" spans="1:19" ht="18" x14ac:dyDescent="0.2">
      <c r="A32" t="s">
        <v>30</v>
      </c>
      <c r="B32" t="s">
        <v>31</v>
      </c>
      <c r="C32" t="s">
        <v>32</v>
      </c>
      <c r="D32" t="s">
        <v>156</v>
      </c>
      <c r="E32" s="27">
        <v>0.3135</v>
      </c>
      <c r="F32" s="27">
        <v>0.12540000000000001</v>
      </c>
      <c r="G32" s="26">
        <v>8.1400000000000005E-4</v>
      </c>
      <c r="H32" s="26">
        <v>1.628E-4</v>
      </c>
      <c r="I32" s="26">
        <v>1.018E-3</v>
      </c>
      <c r="J32" s="26">
        <v>2.0350000000000001E-4</v>
      </c>
      <c r="K32" s="28">
        <v>1.57</v>
      </c>
      <c r="L32" s="28">
        <v>0.31</v>
      </c>
      <c r="M32" s="28">
        <v>1.96</v>
      </c>
      <c r="N32" s="28">
        <v>0.39</v>
      </c>
      <c r="O32" s="28">
        <f>Table4[[#This Row],[Provisioned_IA- WCU]]/Table4[[#This Row],[Provisioned - WCU]]</f>
        <v>1.2506142506142506</v>
      </c>
      <c r="P32" s="28">
        <f>Table4[[#This Row],[Provisioned_IA- RCU]]/Table4[[#This Row],[Provisioned - RCU]]</f>
        <v>1.25</v>
      </c>
      <c r="Q32" s="28">
        <f>Table4[[#This Row],[OD_IA_WRU]]/Table4[[#This Row],[OD_WRU]]</f>
        <v>1.2484076433121019</v>
      </c>
      <c r="R32" s="28">
        <f>Table4[[#This Row],[OD_IA_RRU]]/Table4[[#This Row],[OD_RRU]]</f>
        <v>1.2580645161290323</v>
      </c>
      <c r="S32" s="28">
        <f>Table4[[#This Row],[Standard_IA]]/Table4[[#This Row],[Standard]]</f>
        <v>0.4</v>
      </c>
    </row>
    <row r="33" spans="1:19" ht="18" x14ac:dyDescent="0.2">
      <c r="A33" t="s">
        <v>28</v>
      </c>
      <c r="B33" t="s">
        <v>27</v>
      </c>
      <c r="C33" t="s">
        <v>29</v>
      </c>
      <c r="D33" t="s">
        <v>159</v>
      </c>
      <c r="E33" s="27">
        <v>0.33677000000000001</v>
      </c>
      <c r="F33" s="27">
        <v>0.13471</v>
      </c>
      <c r="G33" s="26">
        <v>8.7465000000000004E-4</v>
      </c>
      <c r="H33" s="26">
        <v>1.7493000000000001E-4</v>
      </c>
      <c r="I33" s="26">
        <v>9.6469999999999998E-4</v>
      </c>
      <c r="J33" s="26">
        <v>2.187E-4</v>
      </c>
      <c r="K33" s="28">
        <v>1.6820999999999999</v>
      </c>
      <c r="L33" s="28">
        <v>0.33639999999999998</v>
      </c>
      <c r="M33" s="28">
        <v>2.1025999999999998</v>
      </c>
      <c r="N33" s="28">
        <v>0.42099999999999999</v>
      </c>
      <c r="O33" s="28">
        <f>Table4[[#This Row],[Provisioned_IA- WCU]]/Table4[[#This Row],[Provisioned - WCU]]</f>
        <v>1.1029554679014462</v>
      </c>
      <c r="P33" s="28">
        <f>Table4[[#This Row],[Provisioned_IA- RCU]]/Table4[[#This Row],[Provisioned - RCU]]</f>
        <v>1.2502143714628708</v>
      </c>
      <c r="Q33" s="28">
        <f>Table4[[#This Row],[OD_IA_WRU]]/Table4[[#This Row],[OD_WRU]]</f>
        <v>1.2499851376255871</v>
      </c>
      <c r="R33" s="28">
        <f>Table4[[#This Row],[OD_IA_RRU]]/Table4[[#This Row],[OD_RRU]]</f>
        <v>1.2514863258026159</v>
      </c>
      <c r="S33" s="28">
        <f>Table4[[#This Row],[Standard_IA]]/Table4[[#This Row],[Standard]]</f>
        <v>0.40000593877126822</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GT</vt:lpstr>
      <vt:lpstr>GTStorage</vt:lpstr>
      <vt:lpstr>GTWrites</vt:lpstr>
      <vt:lpstr>Hours</vt:lpstr>
      <vt:lpstr>OnDemandRcuPrice</vt:lpstr>
      <vt:lpstr>OnDemandWcuPrice</vt:lpstr>
      <vt:lpstr>ProvisionedPricePerReadUnitHourly</vt:lpstr>
      <vt:lpstr>ProvisionedPricePerWriteUnitHourly</vt:lpstr>
      <vt:lpstr>ProvisioningEfficiency</vt:lpstr>
      <vt:lpstr>StorageCostPerGbHour</vt:lpstr>
      <vt:lpstr>TimeUnit</vt:lpstr>
      <vt:lpstr>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McCauley, Robert</cp:lastModifiedBy>
  <dcterms:created xsi:type="dcterms:W3CDTF">2024-04-10T06:14:40Z</dcterms:created>
  <dcterms:modified xsi:type="dcterms:W3CDTF">2025-01-16T17:48:54Z</dcterms:modified>
</cp:coreProperties>
</file>