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adu\OneDrive\바탕 화면\DHY bar\마감자료\메이드\202212\"/>
    </mc:Choice>
  </mc:AlternateContent>
  <xr:revisionPtr revIDLastSave="0" documentId="13_ncr:1_{66200EA4-A504-48F3-A051-2397538CF3C4}" xr6:coauthVersionLast="47" xr6:coauthVersionMax="47" xr10:uidLastSave="{00000000-0000-0000-0000-000000000000}"/>
  <bookViews>
    <workbookView xWindow="-120" yWindow="-120" windowWidth="29040" windowHeight="15840" xr2:uid="{B3878B74-136E-44C3-86E0-2836B12CF676}"/>
  </bookViews>
  <sheets>
    <sheet name="출퇴근 및 급여" sheetId="1" r:id="rId1"/>
    <sheet name="메이드 인센" sheetId="7" r:id="rId2"/>
    <sheet name="주류장부" sheetId="4" r:id="rId3"/>
    <sheet name="달력" sheetId="5" r:id="rId4"/>
    <sheet name="Sheet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6" i="1" l="1"/>
  <c r="AI38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K35" i="4"/>
  <c r="O34" i="4"/>
  <c r="N34" i="4"/>
  <c r="K34" i="4"/>
  <c r="J34" i="4"/>
  <c r="G34" i="4"/>
  <c r="F34" i="4"/>
  <c r="E34" i="4"/>
  <c r="D34" i="4"/>
  <c r="C34" i="4"/>
  <c r="C35" i="4" s="1"/>
  <c r="L33" i="4"/>
  <c r="I33" i="4"/>
  <c r="H33" i="4"/>
  <c r="I32" i="4"/>
  <c r="H32" i="4"/>
  <c r="L31" i="4"/>
  <c r="I31" i="4"/>
  <c r="H31" i="4"/>
  <c r="I30" i="4"/>
  <c r="H30" i="4"/>
  <c r="I29" i="4"/>
  <c r="H29" i="4"/>
  <c r="I28" i="4"/>
  <c r="L27" i="4"/>
  <c r="I27" i="4"/>
  <c r="H27" i="4"/>
  <c r="I26" i="4"/>
  <c r="H26" i="4"/>
  <c r="I25" i="4"/>
  <c r="H25" i="4"/>
  <c r="L24" i="4"/>
  <c r="I24" i="4"/>
  <c r="H24" i="4"/>
  <c r="I23" i="4"/>
  <c r="H23" i="4"/>
  <c r="I22" i="4"/>
  <c r="H22" i="4"/>
  <c r="I21" i="4"/>
  <c r="H21" i="4"/>
  <c r="L20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L13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L6" i="4"/>
  <c r="I6" i="4"/>
  <c r="H6" i="4"/>
  <c r="I5" i="4"/>
  <c r="H5" i="4"/>
  <c r="I4" i="4"/>
  <c r="H4" i="4"/>
  <c r="I3" i="4"/>
  <c r="I34" i="4" s="1"/>
  <c r="H3" i="4"/>
  <c r="H34" i="4" s="1"/>
  <c r="D35" i="4" l="1"/>
  <c r="E35" i="4"/>
  <c r="F35" i="4"/>
  <c r="G35" i="4"/>
  <c r="AB36" i="1" l="1"/>
  <c r="AE36" i="1" s="1"/>
  <c r="X36" i="1"/>
  <c r="AA36" i="1" s="1"/>
  <c r="T36" i="1"/>
  <c r="W36" i="1" s="1"/>
  <c r="P36" i="1"/>
  <c r="S36" i="1" s="1"/>
  <c r="L36" i="1"/>
  <c r="O36" i="1" s="1"/>
  <c r="K36" i="1"/>
  <c r="F36" i="1"/>
  <c r="G36" i="1" s="1"/>
  <c r="E36" i="1"/>
  <c r="D36" i="1"/>
  <c r="H36" i="1"/>
  <c r="G42" i="7"/>
  <c r="V37" i="7"/>
  <c r="S37" i="7"/>
  <c r="P37" i="7"/>
  <c r="M37" i="7"/>
  <c r="J37" i="7"/>
  <c r="G37" i="7"/>
  <c r="D37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42" i="7" s="1"/>
  <c r="AD33" i="1" l="1"/>
  <c r="AE33" i="1" s="1"/>
  <c r="AD32" i="1"/>
  <c r="AE32" i="1" s="1"/>
  <c r="AD31" i="1"/>
  <c r="AE31" i="1" s="1"/>
  <c r="AD30" i="1"/>
  <c r="AE30" i="1" s="1"/>
  <c r="AD29" i="1"/>
  <c r="AE29" i="1" s="1"/>
  <c r="AD28" i="1"/>
  <c r="AE28" i="1" s="1"/>
  <c r="AD27" i="1"/>
  <c r="AE27" i="1" s="1"/>
  <c r="AD26" i="1"/>
  <c r="AE26" i="1" s="1"/>
  <c r="AD25" i="1"/>
  <c r="AE25" i="1" s="1"/>
  <c r="AD24" i="1"/>
  <c r="AE24" i="1" s="1"/>
  <c r="AD23" i="1"/>
  <c r="AE23" i="1" s="1"/>
  <c r="AD22" i="1"/>
  <c r="AE22" i="1" s="1"/>
  <c r="AD21" i="1"/>
  <c r="AE21" i="1" s="1"/>
  <c r="AD20" i="1"/>
  <c r="AE20" i="1" s="1"/>
  <c r="AD19" i="1"/>
  <c r="AE19" i="1" s="1"/>
  <c r="AD18" i="1"/>
  <c r="AE18" i="1" s="1"/>
  <c r="AD17" i="1"/>
  <c r="AE17" i="1" s="1"/>
  <c r="AD16" i="1"/>
  <c r="AE16" i="1" s="1"/>
  <c r="AD15" i="1"/>
  <c r="AE15" i="1" s="1"/>
  <c r="AD14" i="1"/>
  <c r="AE14" i="1" s="1"/>
  <c r="AD13" i="1"/>
  <c r="AE13" i="1" s="1"/>
  <c r="AD12" i="1"/>
  <c r="AE12" i="1" s="1"/>
  <c r="AD11" i="1"/>
  <c r="AE11" i="1" s="1"/>
  <c r="AD10" i="1"/>
  <c r="AE10" i="1" s="1"/>
  <c r="AD9" i="1"/>
  <c r="AE9" i="1" s="1"/>
  <c r="AD8" i="1"/>
  <c r="AE8" i="1" s="1"/>
  <c r="AD7" i="1"/>
  <c r="AE7" i="1" s="1"/>
  <c r="AD6" i="1"/>
  <c r="AE6" i="1" s="1"/>
  <c r="AD5" i="1"/>
  <c r="AE5" i="1" s="1"/>
  <c r="AD4" i="1"/>
  <c r="AE4" i="1" s="1"/>
  <c r="AD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  <c r="D34" i="1"/>
  <c r="F34" i="1"/>
  <c r="AG34" i="1"/>
  <c r="AD34" i="1" l="1"/>
  <c r="AE35" i="1" s="1"/>
  <c r="AE3" i="1"/>
  <c r="AE39" i="1"/>
  <c r="AJ49" i="1"/>
  <c r="AJ50" i="1" s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" i="1"/>
  <c r="B3" i="6"/>
  <c r="C3" i="6"/>
  <c r="D3" i="6"/>
  <c r="A3" i="6"/>
  <c r="AE37" i="1" l="1"/>
  <c r="AE38" i="1" s="1"/>
  <c r="AN3" i="1"/>
  <c r="AM3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17" i="1"/>
  <c r="AM17" i="1"/>
  <c r="AL17" i="1"/>
  <c r="AN16" i="1"/>
  <c r="AM16" i="1"/>
  <c r="AL16" i="1"/>
  <c r="AN15" i="1"/>
  <c r="AM15" i="1"/>
  <c r="AL15" i="1"/>
  <c r="AN14" i="1"/>
  <c r="AM14" i="1"/>
  <c r="AL14" i="1"/>
  <c r="AN13" i="1"/>
  <c r="AM13" i="1"/>
  <c r="AL13" i="1"/>
  <c r="AN12" i="1"/>
  <c r="AM12" i="1"/>
  <c r="AL12" i="1"/>
  <c r="AN11" i="1"/>
  <c r="AM11" i="1"/>
  <c r="AL11" i="1"/>
  <c r="AN10" i="1"/>
  <c r="AM10" i="1"/>
  <c r="AL10" i="1"/>
  <c r="AN9" i="1"/>
  <c r="AM9" i="1"/>
  <c r="AL9" i="1"/>
  <c r="AN8" i="1"/>
  <c r="AM8" i="1"/>
  <c r="AL8" i="1"/>
  <c r="AN7" i="1"/>
  <c r="AM7" i="1"/>
  <c r="AL7" i="1"/>
  <c r="AN6" i="1"/>
  <c r="AM6" i="1"/>
  <c r="AL6" i="1"/>
  <c r="AN5" i="1"/>
  <c r="AM5" i="1"/>
  <c r="AL5" i="1"/>
  <c r="AN4" i="1"/>
  <c r="AM4" i="1"/>
  <c r="AL4" i="1"/>
  <c r="AL3" i="1"/>
  <c r="AI35" i="1"/>
  <c r="A2" i="1" l="1"/>
  <c r="J49" i="1"/>
  <c r="B34" i="1"/>
  <c r="K39" i="1"/>
  <c r="O39" i="1"/>
  <c r="S39" i="1"/>
  <c r="W39" i="1"/>
  <c r="AA39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K36" i="4"/>
  <c r="U35" i="4"/>
  <c r="T35" i="4"/>
  <c r="S35" i="4"/>
  <c r="R35" i="4"/>
  <c r="Q35" i="4"/>
  <c r="P37" i="4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1"/>
  <c r="D36" i="4"/>
  <c r="E36" i="4"/>
  <c r="F36" i="4"/>
  <c r="M37" i="4"/>
  <c r="O37" i="4"/>
  <c r="Q37" i="4"/>
  <c r="R37" i="4"/>
  <c r="S37" i="4"/>
  <c r="T37" i="4"/>
  <c r="U37" i="4"/>
  <c r="G35" i="1" l="1"/>
  <c r="C35" i="1"/>
  <c r="G37" i="1" l="1"/>
  <c r="G38" i="1"/>
  <c r="C37" i="1"/>
  <c r="C38" i="1"/>
  <c r="Z33" i="1" l="1"/>
  <c r="AA33" i="1" s="1"/>
  <c r="Z32" i="1"/>
  <c r="AA32" i="1" s="1"/>
  <c r="Z31" i="1"/>
  <c r="AA31" i="1" s="1"/>
  <c r="Z30" i="1"/>
  <c r="AA30" i="1" s="1"/>
  <c r="Z29" i="1"/>
  <c r="AA29" i="1" s="1"/>
  <c r="Z28" i="1"/>
  <c r="AA28" i="1" s="1"/>
  <c r="Z27" i="1"/>
  <c r="AA27" i="1" s="1"/>
  <c r="Z26" i="1"/>
  <c r="AA26" i="1" s="1"/>
  <c r="Z25" i="1"/>
  <c r="AA25" i="1" s="1"/>
  <c r="Z24" i="1"/>
  <c r="AA24" i="1" s="1"/>
  <c r="Z23" i="1"/>
  <c r="AA23" i="1" s="1"/>
  <c r="Z22" i="1"/>
  <c r="AA22" i="1" s="1"/>
  <c r="Z21" i="1"/>
  <c r="AA21" i="1" s="1"/>
  <c r="Z20" i="1"/>
  <c r="AA20" i="1" s="1"/>
  <c r="Z19" i="1"/>
  <c r="AA19" i="1" s="1"/>
  <c r="Z18" i="1"/>
  <c r="AA18" i="1" s="1"/>
  <c r="Z17" i="1"/>
  <c r="AA17" i="1" s="1"/>
  <c r="Z16" i="1"/>
  <c r="AA16" i="1" s="1"/>
  <c r="Z15" i="1"/>
  <c r="AA15" i="1" s="1"/>
  <c r="Z14" i="1"/>
  <c r="AA14" i="1" s="1"/>
  <c r="Z13" i="1"/>
  <c r="AA13" i="1" s="1"/>
  <c r="Z12" i="1"/>
  <c r="AA12" i="1" s="1"/>
  <c r="Z11" i="1"/>
  <c r="AA11" i="1" s="1"/>
  <c r="Z10" i="1"/>
  <c r="AA10" i="1" s="1"/>
  <c r="Z9" i="1"/>
  <c r="AA9" i="1" s="1"/>
  <c r="Z8" i="1"/>
  <c r="AA8" i="1" s="1"/>
  <c r="Z7" i="1"/>
  <c r="AA7" i="1" s="1"/>
  <c r="Z6" i="1"/>
  <c r="AA6" i="1" s="1"/>
  <c r="Z5" i="1"/>
  <c r="AA5" i="1" s="1"/>
  <c r="Z4" i="1"/>
  <c r="AA4" i="1" s="1"/>
  <c r="Z3" i="1"/>
  <c r="AA3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V25" i="1"/>
  <c r="W25" i="1" s="1"/>
  <c r="V24" i="1"/>
  <c r="W24" i="1" s="1"/>
  <c r="V23" i="1"/>
  <c r="W23" i="1" s="1"/>
  <c r="V22" i="1"/>
  <c r="W22" i="1" s="1"/>
  <c r="V21" i="1"/>
  <c r="W21" i="1" s="1"/>
  <c r="V20" i="1"/>
  <c r="W20" i="1" s="1"/>
  <c r="V19" i="1"/>
  <c r="W19" i="1" s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  <c r="V5" i="1"/>
  <c r="W5" i="1" s="1"/>
  <c r="V4" i="1"/>
  <c r="W4" i="1" s="1"/>
  <c r="V3" i="1"/>
  <c r="W3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3" i="1"/>
  <c r="S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" i="1"/>
  <c r="K3" i="1" s="1"/>
  <c r="Z34" i="1"/>
  <c r="AA35" i="1" s="1"/>
  <c r="V34" i="1"/>
  <c r="W35" i="1" s="1"/>
  <c r="R34" i="1"/>
  <c r="S35" i="1" s="1"/>
  <c r="N34" i="1"/>
  <c r="O35" i="1" s="1"/>
  <c r="J34" i="1"/>
  <c r="K35" i="1" s="1"/>
  <c r="K37" i="1" l="1"/>
  <c r="K38" i="1"/>
  <c r="O37" i="1"/>
  <c r="O38" i="1"/>
  <c r="S37" i="1"/>
  <c r="S38" i="1"/>
  <c r="W37" i="1"/>
  <c r="W38" i="1"/>
  <c r="AA37" i="1"/>
  <c r="AA38" i="1"/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O33" i="1" l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K3" i="1"/>
  <c r="E35" i="1"/>
  <c r="E37" i="1"/>
  <c r="E38" i="1" l="1"/>
  <c r="AJ38" i="1" s="1"/>
  <c r="AK38" i="1" s="1"/>
  <c r="AJ35" i="1"/>
  <c r="AK35" i="1" s="1"/>
  <c r="AO3" i="1"/>
  <c r="AO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Infraware Corporation</author>
  </authors>
  <commentList>
    <comment ref="N37" authorId="0" shapeId="0" xr:uid="{9FDDCDAC-6757-4971-A52D-9C3527A5A364}">
      <text>
        <r>
          <rPr>
            <b/>
            <sz val="11"/>
            <color indexed="8"/>
            <rFont val="굴림"/>
            <family val="3"/>
            <charset val="129"/>
          </rPr>
          <t>매출대비~ 주류 비율 15%이상시</t>
        </r>
        <r>
          <rPr>
            <sz val="11"/>
            <color indexed="8"/>
            <rFont val="굴림"/>
            <family val="3"/>
            <charset val="129"/>
          </rPr>
          <t xml:space="preserve">
각 지점 실장들은~
그 이유와 대처방안을 
첨부하여 보내시길 바랍니다
또한, 사유서(이유와 대처방안)가 불분명할시 사무실로 호출되어 회의 및 전략계획시간을 갖게 되오니 참고하세요.</t>
        </r>
      </text>
    </comment>
  </commentList>
</comments>
</file>

<file path=xl/sharedStrings.xml><?xml version="1.0" encoding="utf-8"?>
<sst xmlns="http://schemas.openxmlformats.org/spreadsheetml/2006/main" count="180" uniqueCount="93">
  <si>
    <t>출근</t>
    <phoneticPr fontId="1" type="noConversion"/>
  </si>
  <si>
    <t>퇴근</t>
    <phoneticPr fontId="1" type="noConversion"/>
  </si>
  <si>
    <t>근무시간</t>
  </si>
  <si>
    <t>실장</t>
    <phoneticPr fontId="1" type="noConversion"/>
  </si>
  <si>
    <t>총근무시간</t>
  </si>
  <si>
    <t>지급 시급</t>
    <phoneticPr fontId="1" type="noConversion"/>
  </si>
  <si>
    <t>날짜</t>
  </si>
  <si>
    <t>지명</t>
  </si>
  <si>
    <t>지급 인센</t>
    <phoneticPr fontId="1" type="noConversion"/>
  </si>
  <si>
    <t>총 지급액</t>
    <phoneticPr fontId="1" type="noConversion"/>
  </si>
  <si>
    <t>세금</t>
    <phoneticPr fontId="1" type="noConversion"/>
  </si>
  <si>
    <t>FACE</t>
    <phoneticPr fontId="4" type="noConversion"/>
  </si>
  <si>
    <t>주방사입</t>
    <phoneticPr fontId="4" type="noConversion"/>
  </si>
  <si>
    <t>캔음료</t>
    <phoneticPr fontId="4" type="noConversion"/>
  </si>
  <si>
    <t>부식</t>
    <phoneticPr fontId="4" type="noConversion"/>
  </si>
  <si>
    <t>공산품</t>
    <phoneticPr fontId="4" type="noConversion"/>
  </si>
  <si>
    <t>과일외 안주</t>
    <phoneticPr fontId="4" type="noConversion"/>
  </si>
  <si>
    <t xml:space="preserve">과일 </t>
    <phoneticPr fontId="4" type="noConversion"/>
  </si>
  <si>
    <t>금</t>
  </si>
  <si>
    <t>월</t>
  </si>
  <si>
    <t>화</t>
  </si>
  <si>
    <t>수</t>
  </si>
  <si>
    <t>목</t>
  </si>
  <si>
    <t>일일시재비율</t>
    <phoneticPr fontId="4" type="noConversion"/>
  </si>
  <si>
    <t xml:space="preserve">  사입비비율</t>
    <phoneticPr fontId="4" type="noConversion"/>
  </si>
  <si>
    <t>주류비율</t>
    <phoneticPr fontId="4" type="noConversion"/>
  </si>
  <si>
    <t xml:space="preserve"> --------&gt;</t>
  </si>
  <si>
    <t>시급</t>
    <phoneticPr fontId="1" type="noConversion"/>
  </si>
  <si>
    <t>3000밑으로 15%</t>
    <phoneticPr fontId="1" type="noConversion"/>
  </si>
  <si>
    <t>개인 매출</t>
    <phoneticPr fontId="1" type="noConversion"/>
  </si>
  <si>
    <t>지명이 없어서 인센을 카운트 안함</t>
    <phoneticPr fontId="1" type="noConversion"/>
  </si>
  <si>
    <t>1월</t>
    <phoneticPr fontId="1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</si>
  <si>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</si>
  <si>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</si>
  <si>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</si>
  <si>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</si>
  <si>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</si>
  <si>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</si>
  <si>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</si>
  <si>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</si>
  <si>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</si>
  <si>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</si>
  <si>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</si>
  <si>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12월</t>
    <phoneticPr fontId="1" type="noConversion"/>
  </si>
  <si>
    <t>당일 발생 급여</t>
    <phoneticPr fontId="1" type="noConversion"/>
  </si>
  <si>
    <t>당일 급여</t>
  </si>
  <si>
    <t>당일 급여</t>
    <phoneticPr fontId="1" type="noConversion"/>
  </si>
  <si>
    <t>당일 매출</t>
    <phoneticPr fontId="1" type="noConversion"/>
  </si>
  <si>
    <t>인건비율</t>
    <phoneticPr fontId="1" type="noConversion"/>
  </si>
  <si>
    <t>주류비</t>
    <phoneticPr fontId="1" type="noConversion"/>
  </si>
  <si>
    <t>부가세, 카드수수료 주류비: 35.5%</t>
    <phoneticPr fontId="1" type="noConversion"/>
  </si>
  <si>
    <t>순이익</t>
    <phoneticPr fontId="1" type="noConversion"/>
  </si>
  <si>
    <t>카드수수료</t>
    <phoneticPr fontId="1" type="noConversion"/>
  </si>
  <si>
    <t>부가세 10%</t>
    <phoneticPr fontId="1" type="noConversion"/>
  </si>
  <si>
    <t>카드수수료 2.5%</t>
    <phoneticPr fontId="1" type="noConversion"/>
  </si>
  <si>
    <t>주류비 23%</t>
    <phoneticPr fontId="1" type="noConversion"/>
  </si>
  <si>
    <t xml:space="preserve">합 : </t>
    <phoneticPr fontId="1" type="noConversion"/>
  </si>
  <si>
    <t>부가세</t>
    <phoneticPr fontId="1" type="noConversion"/>
  </si>
  <si>
    <t>식자재</t>
    <phoneticPr fontId="1" type="noConversion"/>
  </si>
  <si>
    <t>인건비</t>
    <phoneticPr fontId="1" type="noConversion"/>
  </si>
  <si>
    <t>발생 비용 합</t>
    <phoneticPr fontId="1" type="noConversion"/>
  </si>
  <si>
    <t>순이익(인센제외)</t>
    <phoneticPr fontId="1" type="noConversion"/>
  </si>
  <si>
    <t>은지</t>
    <phoneticPr fontId="1" type="noConversion"/>
  </si>
  <si>
    <t>서연</t>
    <phoneticPr fontId="1" type="noConversion"/>
  </si>
  <si>
    <t>수연</t>
    <phoneticPr fontId="1" type="noConversion"/>
  </si>
  <si>
    <t>선미</t>
    <phoneticPr fontId="1" type="noConversion"/>
  </si>
  <si>
    <t>나연</t>
    <phoneticPr fontId="1" type="noConversion"/>
  </si>
  <si>
    <t>희령</t>
    <phoneticPr fontId="1" type="noConversion"/>
  </si>
  <si>
    <t>재희</t>
    <phoneticPr fontId="1" type="noConversion"/>
  </si>
  <si>
    <t>PR</t>
    <phoneticPr fontId="1" type="noConversion"/>
  </si>
  <si>
    <t>에약</t>
    <phoneticPr fontId="1" type="noConversion"/>
  </si>
  <si>
    <t>이벤트</t>
    <phoneticPr fontId="1" type="noConversion"/>
  </si>
  <si>
    <t>번호</t>
    <phoneticPr fontId="1" type="noConversion"/>
  </si>
  <si>
    <t>요일</t>
  </si>
  <si>
    <t>테이블</t>
  </si>
  <si>
    <t>비지명</t>
  </si>
  <si>
    <t>추가</t>
  </si>
  <si>
    <t>모던</t>
    <phoneticPr fontId="28" type="noConversion"/>
  </si>
  <si>
    <t>T단가</t>
    <phoneticPr fontId="28" type="noConversion"/>
  </si>
  <si>
    <t>인당생산성</t>
  </si>
  <si>
    <t>출근</t>
  </si>
  <si>
    <t>일매출</t>
  </si>
  <si>
    <t>주간합계</t>
  </si>
  <si>
    <t>주류총액</t>
  </si>
  <si>
    <t>반품</t>
  </si>
  <si>
    <t>개시</t>
    <phoneticPr fontId="28" type="noConversion"/>
  </si>
  <si>
    <t>목</t>
    <phoneticPr fontId="28" type="noConversion"/>
  </si>
  <si>
    <t>금</t>
    <phoneticPr fontId="28" type="noConversion"/>
  </si>
  <si>
    <t>토</t>
    <phoneticPr fontId="28" type="noConversion"/>
  </si>
  <si>
    <t>일</t>
    <phoneticPr fontId="28" type="noConversion"/>
  </si>
  <si>
    <t>월</t>
    <phoneticPr fontId="28" type="noConversion"/>
  </si>
  <si>
    <t>화</t>
    <phoneticPr fontId="28" type="noConversion"/>
  </si>
  <si>
    <t>수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</si>
</sst>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  <numFmt numFmtId="177" formatCode="h:mm;@"/>
    <numFmt numFmtId="178" formatCode="mm/dd\ aaa"/>
    <numFmt numFmtId="179" formatCode="#,##0_);[Red]\(#,##0\)"/>
    <numFmt numFmtId="180" formatCode="mm&quot;월&quot;\ dd&quot;일&quot;"/>
    <numFmt numFmtId="181" formatCode="#,##0_ "/>
    <numFmt numFmtId="186" formatCode="0.0_);[Red]\(0.0\)"/>
    <numFmt numFmtId="187" formatCode="#,##0.0_ "/>
    <numFmt numFmtId="189" formatCode="0.00_);[Red]\(0.00\)"/>
    <numFmt numFmtId="190" formatCode="#,##0.0_);[Red]\(#,##0.0\)"/>
    <numFmt numFmtId="191" formatCode="0.0%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돋움"/>
      <family val="3"/>
      <charset val="129"/>
    </font>
    <font>
      <sz val="11"/>
      <color indexed="8"/>
      <name val="맑은 고딕"/>
      <family val="3"/>
      <charset val="129"/>
    </font>
    <font>
      <b/>
      <sz val="14"/>
      <color indexed="9"/>
      <name val="돋움"/>
      <family val="3"/>
      <charset val="129"/>
    </font>
    <font>
      <b/>
      <sz val="14"/>
      <color indexed="8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theme="0"/>
      <name val="돋움"/>
      <family val="3"/>
      <charset val="129"/>
    </font>
    <font>
      <b/>
      <sz val="11"/>
      <color indexed="10"/>
      <name val="돋움"/>
      <family val="3"/>
      <charset val="129"/>
    </font>
    <font>
      <b/>
      <sz val="12"/>
      <color indexed="9"/>
      <name val="돋움"/>
      <family val="3"/>
      <charset val="129"/>
    </font>
    <font>
      <b/>
      <sz val="11"/>
      <color indexed="12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theme="1"/>
      <name val="돋움"/>
      <family val="3"/>
      <charset val="129"/>
    </font>
    <font>
      <b/>
      <sz val="12"/>
      <color indexed="8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0"/>
      <name val="돋움"/>
      <family val="3"/>
      <charset val="129"/>
    </font>
    <font>
      <sz val="11"/>
      <color indexed="10"/>
      <name val="맑은 고딕"/>
      <family val="3"/>
      <charset val="129"/>
    </font>
    <font>
      <b/>
      <sz val="12"/>
      <color indexed="10"/>
      <name val="돋움"/>
      <family val="3"/>
      <charset val="129"/>
    </font>
    <font>
      <b/>
      <sz val="14"/>
      <color theme="1"/>
      <name val="돋움"/>
      <family val="3"/>
      <charset val="129"/>
    </font>
    <font>
      <b/>
      <sz val="14"/>
      <color indexed="10"/>
      <name val="돋움"/>
      <family val="3"/>
      <charset val="129"/>
    </font>
    <font>
      <b/>
      <sz val="14"/>
      <color indexed="48"/>
      <name val="돋움"/>
      <family val="3"/>
      <charset val="129"/>
    </font>
    <font>
      <b/>
      <sz val="20"/>
      <color indexed="9"/>
      <name val="돋움"/>
      <family val="3"/>
      <charset val="129"/>
    </font>
    <font>
      <b/>
      <sz val="24"/>
      <color indexed="9"/>
      <name val="돋움"/>
      <family val="3"/>
      <charset val="129"/>
    </font>
    <font>
      <b/>
      <sz val="11"/>
      <color indexed="8"/>
      <name val="굴림"/>
      <family val="3"/>
      <charset val="129"/>
    </font>
    <font>
      <sz val="11"/>
      <color indexed="8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2"/>
      <color theme="0"/>
      <name val="돋움"/>
      <family val="3"/>
      <charset val="129"/>
    </font>
    <font>
      <sz val="11"/>
      <color indexed="48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8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1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10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10"/>
      </right>
      <top/>
      <bottom/>
      <diagonal/>
    </border>
    <border>
      <left style="double">
        <color indexed="10"/>
      </left>
      <right style="double">
        <color indexed="10"/>
      </right>
      <top/>
      <bottom/>
      <diagonal/>
    </border>
    <border>
      <left style="double">
        <color indexed="10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10"/>
      </right>
      <top/>
      <bottom style="medium">
        <color indexed="64"/>
      </bottom>
      <diagonal/>
    </border>
    <border>
      <left style="double">
        <color indexed="10"/>
      </left>
      <right style="double">
        <color indexed="10"/>
      </right>
      <top/>
      <bottom style="medium">
        <color indexed="64"/>
      </bottom>
      <diagonal/>
    </border>
    <border>
      <left style="double">
        <color indexed="10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10"/>
      </left>
      <right/>
      <top/>
      <bottom style="medium">
        <color indexed="64"/>
      </bottom>
      <diagonal/>
    </border>
    <border>
      <left/>
      <right style="double">
        <color indexed="10"/>
      </right>
      <top style="medium">
        <color indexed="64"/>
      </top>
      <bottom/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10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</cellStyleXfs>
  <cellXfs count="244">
    <xf numFmtId="0" fontId="0" fillId="0" borderId="0" xfId="0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0" fontId="0" fillId="2" borderId="0" xfId="0" applyFill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4" xfId="0" applyBorder="1">
      <alignment vertical="center"/>
    </xf>
    <xf numFmtId="177" fontId="0" fillId="0" borderId="6" xfId="0" applyNumberFormat="1" applyBorder="1">
      <alignment vertical="center"/>
    </xf>
    <xf numFmtId="177" fontId="0" fillId="2" borderId="6" xfId="0" applyNumberFormat="1" applyFill="1" applyBorder="1">
      <alignment vertical="center"/>
    </xf>
    <xf numFmtId="177" fontId="0" fillId="2" borderId="8" xfId="0" applyNumberFormat="1" applyFill="1" applyBorder="1">
      <alignment vertical="center"/>
    </xf>
    <xf numFmtId="177" fontId="0" fillId="2" borderId="9" xfId="0" applyNumberFormat="1" applyFill="1" applyBorder="1">
      <alignment vertical="center"/>
    </xf>
    <xf numFmtId="179" fontId="0" fillId="0" borderId="0" xfId="0" applyNumberFormat="1">
      <alignment vertical="center"/>
    </xf>
    <xf numFmtId="0" fontId="4" fillId="6" borderId="2" xfId="3" applyFont="1" applyFill="1" applyBorder="1" applyAlignment="1">
      <alignment horizontal="center" vertical="center"/>
    </xf>
    <xf numFmtId="0" fontId="4" fillId="6" borderId="0" xfId="3" applyFont="1" applyFill="1" applyAlignment="1">
      <alignment horizontal="center" vertical="center"/>
    </xf>
    <xf numFmtId="41" fontId="3" fillId="6" borderId="0" xfId="3" applyNumberFormat="1" applyFill="1">
      <alignment vertical="center"/>
    </xf>
    <xf numFmtId="0" fontId="3" fillId="6" borderId="0" xfId="3" applyFill="1">
      <alignment vertical="center"/>
    </xf>
    <xf numFmtId="41" fontId="6" fillId="7" borderId="10" xfId="3" applyNumberFormat="1" applyFont="1" applyFill="1" applyBorder="1" applyAlignment="1">
      <alignment horizontal="center" vertical="center"/>
    </xf>
    <xf numFmtId="41" fontId="10" fillId="7" borderId="10" xfId="3" applyNumberFormat="1" applyFont="1" applyFill="1" applyBorder="1" applyAlignment="1">
      <alignment horizontal="center" vertical="center"/>
    </xf>
    <xf numFmtId="41" fontId="3" fillId="7" borderId="0" xfId="3" applyNumberFormat="1" applyFill="1">
      <alignment vertical="center"/>
    </xf>
    <xf numFmtId="0" fontId="3" fillId="7" borderId="0" xfId="3" applyFill="1">
      <alignment vertical="center"/>
    </xf>
    <xf numFmtId="179" fontId="11" fillId="6" borderId="16" xfId="3" applyNumberFormat="1" applyFont="1" applyFill="1" applyBorder="1" applyAlignment="1">
      <alignment horizontal="right"/>
    </xf>
    <xf numFmtId="179" fontId="11" fillId="6" borderId="17" xfId="3" applyNumberFormat="1" applyFont="1" applyFill="1" applyBorder="1" applyAlignment="1">
      <alignment horizontal="right"/>
    </xf>
    <xf numFmtId="179" fontId="11" fillId="6" borderId="18" xfId="3" applyNumberFormat="1" applyFont="1" applyFill="1" applyBorder="1" applyAlignment="1">
      <alignment horizontal="right"/>
    </xf>
    <xf numFmtId="179" fontId="11" fillId="6" borderId="19" xfId="3" applyNumberFormat="1" applyFont="1" applyFill="1" applyBorder="1" applyAlignment="1">
      <alignment horizontal="right"/>
    </xf>
    <xf numFmtId="41" fontId="11" fillId="8" borderId="0" xfId="3" applyNumberFormat="1" applyFont="1" applyFill="1" applyAlignment="1">
      <alignment horizontal="right"/>
    </xf>
    <xf numFmtId="41" fontId="3" fillId="8" borderId="0" xfId="3" applyNumberFormat="1" applyFill="1">
      <alignment vertical="center"/>
    </xf>
    <xf numFmtId="0" fontId="3" fillId="8" borderId="0" xfId="3" applyFill="1">
      <alignment vertical="center"/>
    </xf>
    <xf numFmtId="179" fontId="11" fillId="6" borderId="1" xfId="3" applyNumberFormat="1" applyFont="1" applyFill="1" applyBorder="1" applyAlignment="1">
      <alignment horizontal="right"/>
    </xf>
    <xf numFmtId="179" fontId="11" fillId="6" borderId="20" xfId="3" applyNumberFormat="1" applyFont="1" applyFill="1" applyBorder="1" applyAlignment="1">
      <alignment horizontal="right"/>
    </xf>
    <xf numFmtId="179" fontId="11" fillId="6" borderId="21" xfId="3" applyNumberFormat="1" applyFont="1" applyFill="1" applyBorder="1" applyAlignment="1">
      <alignment horizontal="right"/>
    </xf>
    <xf numFmtId="179" fontId="11" fillId="6" borderId="22" xfId="3" applyNumberFormat="1" applyFont="1" applyFill="1" applyBorder="1" applyAlignment="1">
      <alignment horizontal="right"/>
    </xf>
    <xf numFmtId="41" fontId="11" fillId="6" borderId="0" xfId="3" applyNumberFormat="1" applyFont="1" applyFill="1" applyAlignment="1">
      <alignment horizontal="right"/>
    </xf>
    <xf numFmtId="179" fontId="11" fillId="6" borderId="23" xfId="3" applyNumberFormat="1" applyFont="1" applyFill="1" applyBorder="1" applyAlignment="1">
      <alignment horizontal="right"/>
    </xf>
    <xf numFmtId="179" fontId="15" fillId="6" borderId="23" xfId="3" applyNumberFormat="1" applyFont="1" applyFill="1" applyBorder="1" applyAlignment="1">
      <alignment horizontal="right" vertical="center"/>
    </xf>
    <xf numFmtId="179" fontId="15" fillId="6" borderId="20" xfId="3" applyNumberFormat="1" applyFont="1" applyFill="1" applyBorder="1" applyAlignment="1">
      <alignment horizontal="right" vertical="center"/>
    </xf>
    <xf numFmtId="179" fontId="15" fillId="6" borderId="21" xfId="3" applyNumberFormat="1" applyFont="1" applyFill="1" applyBorder="1" applyAlignment="1">
      <alignment horizontal="right" vertical="center"/>
    </xf>
    <xf numFmtId="179" fontId="15" fillId="6" borderId="22" xfId="3" applyNumberFormat="1" applyFont="1" applyFill="1" applyBorder="1" applyAlignment="1">
      <alignment horizontal="right"/>
    </xf>
    <xf numFmtId="41" fontId="16" fillId="6" borderId="0" xfId="3" applyNumberFormat="1" applyFont="1" applyFill="1">
      <alignment vertical="center"/>
    </xf>
    <xf numFmtId="41" fontId="15" fillId="6" borderId="0" xfId="3" applyNumberFormat="1" applyFont="1" applyFill="1" applyAlignment="1">
      <alignment horizontal="right" vertical="center"/>
    </xf>
    <xf numFmtId="0" fontId="16" fillId="6" borderId="0" xfId="3" applyFont="1" applyFill="1">
      <alignment vertical="center"/>
    </xf>
    <xf numFmtId="179" fontId="11" fillId="6" borderId="23" xfId="3" applyNumberFormat="1" applyFont="1" applyFill="1" applyBorder="1" applyAlignment="1">
      <alignment horizontal="right" vertical="center"/>
    </xf>
    <xf numFmtId="179" fontId="11" fillId="6" borderId="20" xfId="3" applyNumberFormat="1" applyFont="1" applyFill="1" applyBorder="1" applyAlignment="1">
      <alignment horizontal="right" vertical="center"/>
    </xf>
    <xf numFmtId="179" fontId="11" fillId="6" borderId="21" xfId="3" applyNumberFormat="1" applyFont="1" applyFill="1" applyBorder="1" applyAlignment="1">
      <alignment horizontal="right" vertical="center"/>
    </xf>
    <xf numFmtId="41" fontId="11" fillId="6" borderId="0" xfId="3" applyNumberFormat="1" applyFont="1" applyFill="1" applyAlignment="1">
      <alignment horizontal="right" vertical="center"/>
    </xf>
    <xf numFmtId="41" fontId="3" fillId="9" borderId="0" xfId="3" applyNumberFormat="1" applyFill="1">
      <alignment vertical="center"/>
    </xf>
    <xf numFmtId="0" fontId="3" fillId="9" borderId="0" xfId="3" applyFill="1">
      <alignment vertical="center"/>
    </xf>
    <xf numFmtId="179" fontId="3" fillId="6" borderId="21" xfId="3" applyNumberFormat="1" applyFill="1" applyBorder="1" applyAlignment="1">
      <alignment horizontal="right"/>
    </xf>
    <xf numFmtId="41" fontId="11" fillId="8" borderId="0" xfId="3" applyNumberFormat="1" applyFont="1" applyFill="1" applyAlignment="1">
      <alignment horizontal="right" vertical="center"/>
    </xf>
    <xf numFmtId="179" fontId="15" fillId="6" borderId="24" xfId="3" applyNumberFormat="1" applyFont="1" applyFill="1" applyBorder="1" applyAlignment="1">
      <alignment horizontal="right" vertical="center"/>
    </xf>
    <xf numFmtId="179" fontId="15" fillId="6" borderId="25" xfId="3" applyNumberFormat="1" applyFont="1" applyFill="1" applyBorder="1" applyAlignment="1">
      <alignment horizontal="right" vertical="center"/>
    </xf>
    <xf numFmtId="179" fontId="15" fillId="6" borderId="26" xfId="3" applyNumberFormat="1" applyFont="1" applyFill="1" applyBorder="1" applyAlignment="1">
      <alignment horizontal="right" vertical="center"/>
    </xf>
    <xf numFmtId="179" fontId="15" fillId="6" borderId="27" xfId="3" applyNumberFormat="1" applyFont="1" applyFill="1" applyBorder="1" applyAlignment="1">
      <alignment horizontal="right"/>
    </xf>
    <xf numFmtId="179" fontId="17" fillId="6" borderId="29" xfId="3" applyNumberFormat="1" applyFont="1" applyFill="1" applyBorder="1" applyAlignment="1">
      <alignment horizontal="right" vertical="center"/>
    </xf>
    <xf numFmtId="179" fontId="17" fillId="6" borderId="30" xfId="3" applyNumberFormat="1" applyFont="1" applyFill="1" applyBorder="1" applyAlignment="1">
      <alignment horizontal="right" vertical="center"/>
    </xf>
    <xf numFmtId="180" fontId="11" fillId="6" borderId="11" xfId="3" applyNumberFormat="1" applyFont="1" applyFill="1" applyBorder="1" applyAlignment="1"/>
    <xf numFmtId="0" fontId="11" fillId="6" borderId="12" xfId="3" applyFont="1" applyFill="1" applyBorder="1" applyAlignment="1">
      <alignment horizontal="center" vertical="center"/>
    </xf>
    <xf numFmtId="42" fontId="18" fillId="6" borderId="31" xfId="3" applyNumberFormat="1" applyFont="1" applyFill="1" applyBorder="1" applyAlignment="1">
      <alignment horizontal="center" vertical="center"/>
    </xf>
    <xf numFmtId="9" fontId="18" fillId="6" borderId="13" xfId="3" applyNumberFormat="1" applyFont="1" applyFill="1" applyBorder="1" applyAlignment="1">
      <alignment horizontal="center" vertical="center"/>
    </xf>
    <xf numFmtId="179" fontId="12" fillId="6" borderId="31" xfId="3" applyNumberFormat="1" applyFont="1" applyFill="1" applyBorder="1" applyAlignment="1">
      <alignment horizontal="center" vertical="center"/>
    </xf>
    <xf numFmtId="179" fontId="18" fillId="6" borderId="31" xfId="3" applyNumberFormat="1" applyFont="1" applyFill="1" applyBorder="1" applyAlignment="1">
      <alignment horizontal="center" vertical="center"/>
    </xf>
    <xf numFmtId="179" fontId="13" fillId="6" borderId="31" xfId="3" applyNumberFormat="1" applyFont="1" applyFill="1" applyBorder="1">
      <alignment vertical="center"/>
    </xf>
    <xf numFmtId="42" fontId="19" fillId="6" borderId="31" xfId="3" applyNumberFormat="1" applyFont="1" applyFill="1" applyBorder="1" applyAlignment="1">
      <alignment horizontal="center" vertical="center"/>
    </xf>
    <xf numFmtId="42" fontId="19" fillId="6" borderId="14" xfId="3" applyNumberFormat="1" applyFont="1" applyFill="1" applyBorder="1" applyAlignment="1">
      <alignment horizontal="center" vertical="center"/>
    </xf>
    <xf numFmtId="42" fontId="20" fillId="6" borderId="32" xfId="3" applyNumberFormat="1" applyFont="1" applyFill="1" applyBorder="1" applyAlignment="1">
      <alignment horizontal="center" vertical="center"/>
    </xf>
    <xf numFmtId="0" fontId="20" fillId="6" borderId="33" xfId="3" applyFont="1" applyFill="1" applyBorder="1" applyAlignment="1">
      <alignment horizontal="center"/>
    </xf>
    <xf numFmtId="0" fontId="20" fillId="6" borderId="34" xfId="3" applyFont="1" applyFill="1" applyBorder="1" applyAlignment="1">
      <alignment horizontal="center"/>
    </xf>
    <xf numFmtId="0" fontId="21" fillId="6" borderId="3" xfId="3" applyFont="1" applyFill="1" applyBorder="1" applyAlignment="1">
      <alignment horizontal="center" vertical="center"/>
    </xf>
    <xf numFmtId="10" fontId="22" fillId="6" borderId="0" xfId="3" applyNumberFormat="1" applyFont="1" applyFill="1" applyAlignment="1">
      <alignment horizontal="center" vertical="center"/>
    </xf>
    <xf numFmtId="10" fontId="21" fillId="6" borderId="5" xfId="3" applyNumberFormat="1" applyFont="1" applyFill="1" applyBorder="1" applyAlignment="1">
      <alignment horizontal="center" vertical="center"/>
    </xf>
    <xf numFmtId="10" fontId="21" fillId="6" borderId="35" xfId="3" applyNumberFormat="1" applyFont="1" applyFill="1" applyBorder="1" applyAlignment="1">
      <alignment horizontal="center" vertical="center"/>
    </xf>
    <xf numFmtId="10" fontId="21" fillId="6" borderId="36" xfId="3" applyNumberFormat="1" applyFont="1" applyFill="1" applyBorder="1" applyAlignment="1">
      <alignment horizontal="center" vertical="center"/>
    </xf>
    <xf numFmtId="10" fontId="21" fillId="6" borderId="37" xfId="3" applyNumberFormat="1" applyFont="1" applyFill="1" applyBorder="1" applyAlignment="1">
      <alignment horizontal="center" vertical="center"/>
    </xf>
    <xf numFmtId="10" fontId="21" fillId="6" borderId="38" xfId="3" applyNumberFormat="1" applyFont="1" applyFill="1" applyBorder="1" applyAlignment="1">
      <alignment horizontal="center" vertical="center"/>
    </xf>
    <xf numFmtId="10" fontId="21" fillId="6" borderId="39" xfId="3" applyNumberFormat="1" applyFont="1" applyFill="1" applyBorder="1" applyAlignment="1">
      <alignment horizontal="center" vertical="center"/>
    </xf>
    <xf numFmtId="0" fontId="21" fillId="6" borderId="40" xfId="3" applyFont="1" applyFill="1" applyBorder="1" applyAlignment="1">
      <alignment horizontal="center" vertical="center"/>
    </xf>
    <xf numFmtId="10" fontId="22" fillId="6" borderId="41" xfId="3" applyNumberFormat="1" applyFont="1" applyFill="1" applyBorder="1" applyAlignment="1">
      <alignment horizontal="center" vertical="center"/>
    </xf>
    <xf numFmtId="10" fontId="21" fillId="6" borderId="42" xfId="3" applyNumberFormat="1" applyFont="1" applyFill="1" applyBorder="1" applyAlignment="1">
      <alignment horizontal="center" vertical="center"/>
    </xf>
    <xf numFmtId="10" fontId="21" fillId="6" borderId="43" xfId="3" applyNumberFormat="1" applyFont="1" applyFill="1" applyBorder="1" applyAlignment="1">
      <alignment horizontal="center" vertical="center"/>
    </xf>
    <xf numFmtId="10" fontId="21" fillId="6" borderId="44" xfId="3" applyNumberFormat="1" applyFont="1" applyFill="1" applyBorder="1" applyAlignment="1">
      <alignment horizontal="center" vertical="center"/>
    </xf>
    <xf numFmtId="10" fontId="21" fillId="6" borderId="45" xfId="3" applyNumberFormat="1" applyFont="1" applyFill="1" applyBorder="1" applyAlignment="1">
      <alignment horizontal="center" vertical="center"/>
    </xf>
    <xf numFmtId="10" fontId="21" fillId="6" borderId="46" xfId="3" applyNumberFormat="1" applyFont="1" applyFill="1" applyBorder="1" applyAlignment="1">
      <alignment horizontal="center" vertical="center"/>
    </xf>
    <xf numFmtId="10" fontId="21" fillId="6" borderId="47" xfId="3" applyNumberFormat="1" applyFont="1" applyFill="1" applyBorder="1" applyAlignment="1">
      <alignment horizontal="center" vertical="center"/>
    </xf>
    <xf numFmtId="179" fontId="0" fillId="0" borderId="4" xfId="0" applyNumberFormat="1" applyBorder="1">
      <alignment vertical="center"/>
    </xf>
    <xf numFmtId="0" fontId="0" fillId="0" borderId="48" xfId="0" applyBorder="1" applyAlignment="1">
      <alignment horizontal="right" vertical="center"/>
    </xf>
    <xf numFmtId="0" fontId="0" fillId="2" borderId="48" xfId="0" applyFill="1" applyBorder="1" applyAlignment="1">
      <alignment horizontal="right" vertical="center"/>
    </xf>
    <xf numFmtId="0" fontId="0" fillId="2" borderId="49" xfId="0" applyFill="1" applyBorder="1" applyAlignment="1">
      <alignment horizontal="right" vertical="center"/>
    </xf>
    <xf numFmtId="181" fontId="0" fillId="0" borderId="7" xfId="0" applyNumberFormat="1" applyBorder="1" applyAlignment="1">
      <alignment horizontal="right" vertical="center"/>
    </xf>
    <xf numFmtId="181" fontId="0" fillId="2" borderId="7" xfId="0" applyNumberFormat="1" applyFill="1" applyBorder="1" applyAlignment="1">
      <alignment horizontal="right" vertical="center"/>
    </xf>
    <xf numFmtId="181" fontId="0" fillId="2" borderId="50" xfId="0" applyNumberFormat="1" applyFill="1" applyBorder="1" applyAlignment="1">
      <alignment horizontal="right" vertical="center"/>
    </xf>
    <xf numFmtId="177" fontId="0" fillId="0" borderId="52" xfId="0" applyNumberFormat="1" applyBorder="1">
      <alignment vertical="center"/>
    </xf>
    <xf numFmtId="177" fontId="0" fillId="0" borderId="53" xfId="0" applyNumberFormat="1" applyBorder="1">
      <alignment vertical="center"/>
    </xf>
    <xf numFmtId="0" fontId="0" fillId="0" borderId="54" xfId="0" applyBorder="1" applyAlignment="1">
      <alignment horizontal="right" vertical="center"/>
    </xf>
    <xf numFmtId="181" fontId="0" fillId="0" borderId="51" xfId="0" applyNumberFormat="1" applyBorder="1" applyAlignment="1">
      <alignment horizontal="right" vertical="center"/>
    </xf>
    <xf numFmtId="0" fontId="0" fillId="3" borderId="55" xfId="0" applyFill="1" applyBorder="1">
      <alignment vertical="center"/>
    </xf>
    <xf numFmtId="0" fontId="0" fillId="3" borderId="31" xfId="0" applyFill="1" applyBorder="1">
      <alignment vertical="center"/>
    </xf>
    <xf numFmtId="0" fontId="0" fillId="3" borderId="56" xfId="0" applyFill="1" applyBorder="1">
      <alignment vertical="center"/>
    </xf>
    <xf numFmtId="0" fontId="0" fillId="3" borderId="0" xfId="0" applyFill="1">
      <alignment vertical="center"/>
    </xf>
    <xf numFmtId="179" fontId="0" fillId="3" borderId="0" xfId="0" applyNumberFormat="1" applyFill="1">
      <alignment vertical="center"/>
    </xf>
    <xf numFmtId="181" fontId="0" fillId="0" borderId="0" xfId="0" applyNumberFormat="1">
      <alignment vertical="center"/>
    </xf>
    <xf numFmtId="18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0" borderId="57" xfId="0" applyNumberFormat="1" applyBorder="1">
      <alignment vertical="center"/>
    </xf>
    <xf numFmtId="176" fontId="0" fillId="2" borderId="57" xfId="0" applyNumberFormat="1" applyFill="1" applyBorder="1">
      <alignment vertical="center"/>
    </xf>
    <xf numFmtId="181" fontId="0" fillId="0" borderId="58" xfId="0" applyNumberFormat="1" applyBorder="1">
      <alignment vertical="center"/>
    </xf>
    <xf numFmtId="0" fontId="0" fillId="3" borderId="60" xfId="0" applyFill="1" applyBorder="1">
      <alignment vertical="center"/>
    </xf>
    <xf numFmtId="177" fontId="0" fillId="0" borderId="58" xfId="0" applyNumberFormat="1" applyBorder="1">
      <alignment vertical="center"/>
    </xf>
    <xf numFmtId="181" fontId="0" fillId="0" borderId="61" xfId="0" applyNumberFormat="1" applyBorder="1" applyAlignment="1">
      <alignment horizontal="right" vertical="center"/>
    </xf>
    <xf numFmtId="177" fontId="0" fillId="2" borderId="58" xfId="0" applyNumberFormat="1" applyFill="1" applyBorder="1">
      <alignment vertical="center"/>
    </xf>
    <xf numFmtId="181" fontId="0" fillId="2" borderId="61" xfId="0" applyNumberFormat="1" applyFill="1" applyBorder="1" applyAlignment="1">
      <alignment horizontal="right" vertical="center"/>
    </xf>
    <xf numFmtId="177" fontId="0" fillId="2" borderId="62" xfId="0" applyNumberFormat="1" applyFill="1" applyBorder="1">
      <alignment vertical="center"/>
    </xf>
    <xf numFmtId="181" fontId="0" fillId="2" borderId="63" xfId="0" applyNumberFormat="1" applyFill="1" applyBorder="1" applyAlignment="1">
      <alignment horizontal="right" vertical="center"/>
    </xf>
    <xf numFmtId="179" fontId="0" fillId="0" borderId="57" xfId="0" applyNumberFormat="1" applyBorder="1">
      <alignment vertical="center"/>
    </xf>
    <xf numFmtId="179" fontId="0" fillId="2" borderId="57" xfId="0" applyNumberFormat="1" applyFill="1" applyBorder="1">
      <alignment vertical="center"/>
    </xf>
    <xf numFmtId="179" fontId="0" fillId="2" borderId="8" xfId="0" applyNumberFormat="1" applyFill="1" applyBorder="1">
      <alignment vertical="center"/>
    </xf>
    <xf numFmtId="179" fontId="0" fillId="0" borderId="61" xfId="0" applyNumberFormat="1" applyBorder="1">
      <alignment vertical="center"/>
    </xf>
    <xf numFmtId="179" fontId="0" fillId="2" borderId="61" xfId="0" applyNumberFormat="1" applyFill="1" applyBorder="1">
      <alignment vertical="center"/>
    </xf>
    <xf numFmtId="179" fontId="0" fillId="2" borderId="63" xfId="0" applyNumberFormat="1" applyFill="1" applyBorder="1">
      <alignment vertical="center"/>
    </xf>
    <xf numFmtId="176" fontId="0" fillId="2" borderId="8" xfId="0" applyNumberFormat="1" applyFill="1" applyBorder="1">
      <alignment vertical="center"/>
    </xf>
    <xf numFmtId="176" fontId="0" fillId="0" borderId="52" xfId="0" applyNumberFormat="1" applyBorder="1">
      <alignment vertical="center"/>
    </xf>
    <xf numFmtId="179" fontId="0" fillId="0" borderId="51" xfId="0" applyNumberFormat="1" applyBorder="1">
      <alignment vertical="center"/>
    </xf>
    <xf numFmtId="179" fontId="0" fillId="0" borderId="52" xfId="0" applyNumberFormat="1" applyBorder="1">
      <alignment vertical="center"/>
    </xf>
    <xf numFmtId="179" fontId="0" fillId="0" borderId="64" xfId="0" applyNumberFormat="1" applyBorder="1">
      <alignment vertical="center"/>
    </xf>
    <xf numFmtId="0" fontId="0" fillId="3" borderId="12" xfId="0" applyFill="1" applyBorder="1">
      <alignment vertical="center"/>
    </xf>
    <xf numFmtId="179" fontId="0" fillId="3" borderId="31" xfId="0" applyNumberFormat="1" applyFill="1" applyBorder="1">
      <alignment vertical="center"/>
    </xf>
    <xf numFmtId="179" fontId="0" fillId="3" borderId="65" xfId="0" applyNumberFormat="1" applyFill="1" applyBorder="1">
      <alignment vertical="center"/>
    </xf>
    <xf numFmtId="179" fontId="0" fillId="3" borderId="55" xfId="0" applyNumberFormat="1" applyFill="1" applyBorder="1">
      <alignment vertical="center"/>
    </xf>
    <xf numFmtId="179" fontId="0" fillId="3" borderId="56" xfId="0" applyNumberFormat="1" applyFill="1" applyBorder="1">
      <alignment vertical="center"/>
    </xf>
    <xf numFmtId="177" fontId="0" fillId="0" borderId="66" xfId="0" applyNumberFormat="1" applyBorder="1">
      <alignment vertical="center"/>
    </xf>
    <xf numFmtId="177" fontId="0" fillId="0" borderId="59" xfId="0" applyNumberFormat="1" applyBorder="1">
      <alignment vertical="center"/>
    </xf>
    <xf numFmtId="177" fontId="0" fillId="2" borderId="59" xfId="0" applyNumberFormat="1" applyFill="1" applyBorder="1">
      <alignment vertical="center"/>
    </xf>
    <xf numFmtId="177" fontId="0" fillId="2" borderId="67" xfId="0" applyNumberFormat="1" applyFill="1" applyBorder="1">
      <alignment vertical="center"/>
    </xf>
    <xf numFmtId="0" fontId="0" fillId="5" borderId="3" xfId="0" applyFill="1" applyBorder="1">
      <alignment vertical="center"/>
    </xf>
    <xf numFmtId="181" fontId="0" fillId="5" borderId="68" xfId="0" applyNumberFormat="1" applyFill="1" applyBorder="1">
      <alignment vertical="center"/>
    </xf>
    <xf numFmtId="0" fontId="0" fillId="5" borderId="68" xfId="0" applyFill="1" applyBorder="1">
      <alignment vertical="center"/>
    </xf>
    <xf numFmtId="0" fontId="0" fillId="10" borderId="4" xfId="0" applyFill="1" applyBorder="1">
      <alignment vertical="center"/>
    </xf>
    <xf numFmtId="0" fontId="0" fillId="10" borderId="3" xfId="0" applyFill="1" applyBorder="1">
      <alignment vertical="center"/>
    </xf>
    <xf numFmtId="9" fontId="0" fillId="0" borderId="0" xfId="0" applyNumberFormat="1">
      <alignment vertical="center"/>
    </xf>
    <xf numFmtId="42" fontId="0" fillId="0" borderId="0" xfId="0" applyNumberFormat="1">
      <alignment vertical="center"/>
    </xf>
    <xf numFmtId="0" fontId="0" fillId="3" borderId="2" xfId="0" applyFill="1" applyBorder="1">
      <alignment vertical="center"/>
    </xf>
    <xf numFmtId="181" fontId="0" fillId="0" borderId="71" xfId="0" applyNumberFormat="1" applyBorder="1" applyAlignment="1">
      <alignment horizontal="right" vertical="center"/>
    </xf>
    <xf numFmtId="181" fontId="0" fillId="0" borderId="69" xfId="0" applyNumberFormat="1" applyBorder="1" applyAlignment="1">
      <alignment horizontal="right" vertical="center"/>
    </xf>
    <xf numFmtId="181" fontId="0" fillId="2" borderId="69" xfId="0" applyNumberFormat="1" applyFill="1" applyBorder="1" applyAlignment="1">
      <alignment horizontal="right" vertical="center"/>
    </xf>
    <xf numFmtId="181" fontId="0" fillId="2" borderId="70" xfId="0" applyNumberFormat="1" applyFill="1" applyBorder="1" applyAlignment="1">
      <alignment horizontal="right" vertical="center"/>
    </xf>
    <xf numFmtId="0" fontId="0" fillId="2" borderId="11" xfId="0" applyFill="1" applyBorder="1">
      <alignment vertical="center"/>
    </xf>
    <xf numFmtId="0" fontId="0" fillId="3" borderId="58" xfId="0" applyFill="1" applyBorder="1">
      <alignment vertical="center"/>
    </xf>
    <xf numFmtId="9" fontId="0" fillId="0" borderId="58" xfId="0" applyNumberFormat="1" applyBorder="1">
      <alignment vertical="center"/>
    </xf>
    <xf numFmtId="181" fontId="0" fillId="11" borderId="58" xfId="0" applyNumberFormat="1" applyFill="1" applyBorder="1">
      <alignment vertical="center"/>
    </xf>
    <xf numFmtId="41" fontId="4" fillId="6" borderId="12" xfId="3" applyNumberFormat="1" applyFont="1" applyFill="1" applyBorder="1" applyAlignment="1">
      <alignment horizontal="center" vertical="center"/>
    </xf>
    <xf numFmtId="41" fontId="4" fillId="6" borderId="13" xfId="3" applyNumberFormat="1" applyFont="1" applyFill="1" applyBorder="1" applyAlignment="1">
      <alignment horizontal="center" vertical="center"/>
    </xf>
    <xf numFmtId="41" fontId="4" fillId="6" borderId="14" xfId="3" applyNumberFormat="1" applyFont="1" applyFill="1" applyBorder="1" applyAlignment="1">
      <alignment horizontal="center" vertical="center"/>
    </xf>
    <xf numFmtId="179" fontId="0" fillId="8" borderId="4" xfId="0" applyNumberFormat="1" applyFill="1" applyBorder="1">
      <alignment vertical="center"/>
    </xf>
    <xf numFmtId="187" fontId="0" fillId="0" borderId="0" xfId="0" applyNumberFormat="1" applyAlignment="1">
      <alignment horizontal="center" vertical="center"/>
    </xf>
    <xf numFmtId="187" fontId="26" fillId="0" borderId="0" xfId="0" applyNumberFormat="1" applyFont="1" applyAlignment="1">
      <alignment horizontal="center" vertical="center"/>
    </xf>
    <xf numFmtId="187" fontId="27" fillId="0" borderId="0" xfId="0" applyNumberFormat="1" applyFont="1" applyAlignment="1">
      <alignment horizontal="center" vertical="center"/>
    </xf>
    <xf numFmtId="180" fontId="0" fillId="0" borderId="0" xfId="0" applyNumberFormat="1">
      <alignment vertical="center"/>
    </xf>
    <xf numFmtId="187" fontId="0" fillId="0" borderId="0" xfId="0" applyNumberFormat="1" applyAlignment="1">
      <alignment horizontal="center" vertical="center"/>
    </xf>
    <xf numFmtId="180" fontId="0" fillId="4" borderId="0" xfId="0" applyNumberFormat="1" applyFill="1">
      <alignment vertical="center"/>
    </xf>
    <xf numFmtId="180" fontId="0" fillId="12" borderId="0" xfId="0" applyNumberFormat="1" applyFill="1">
      <alignment vertical="center"/>
    </xf>
    <xf numFmtId="181" fontId="0" fillId="0" borderId="0" xfId="0" applyNumberFormat="1" applyAlignment="1">
      <alignment horizontal="center" vertical="center"/>
    </xf>
    <xf numFmtId="187" fontId="0" fillId="0" borderId="48" xfId="0" applyNumberFormat="1" applyBorder="1" applyAlignment="1">
      <alignment vertical="center"/>
    </xf>
    <xf numFmtId="187" fontId="0" fillId="0" borderId="72" xfId="0" applyNumberFormat="1" applyBorder="1" applyAlignment="1">
      <alignment vertical="center"/>
    </xf>
    <xf numFmtId="187" fontId="0" fillId="0" borderId="59" xfId="0" applyNumberFormat="1" applyBorder="1" applyAlignment="1">
      <alignment vertical="center"/>
    </xf>
    <xf numFmtId="187" fontId="0" fillId="0" borderId="53" xfId="0" applyNumberFormat="1" applyBorder="1" applyAlignment="1">
      <alignment horizontal="center" vertical="center"/>
    </xf>
    <xf numFmtId="42" fontId="5" fillId="6" borderId="74" xfId="3" applyNumberFormat="1" applyFont="1" applyFill="1" applyBorder="1" applyAlignment="1">
      <alignment horizontal="center"/>
    </xf>
    <xf numFmtId="42" fontId="5" fillId="6" borderId="41" xfId="3" applyNumberFormat="1" applyFont="1" applyFill="1" applyBorder="1" applyAlignment="1">
      <alignment horizontal="center"/>
    </xf>
    <xf numFmtId="0" fontId="6" fillId="13" borderId="10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horizontal="center" vertical="center"/>
    </xf>
    <xf numFmtId="0" fontId="8" fillId="13" borderId="10" xfId="0" applyFont="1" applyFill="1" applyBorder="1" applyAlignment="1">
      <alignment horizontal="center" vertical="center"/>
    </xf>
    <xf numFmtId="0" fontId="7" fillId="13" borderId="10" xfId="0" applyFont="1" applyFill="1" applyBorder="1" applyAlignment="1">
      <alignment horizontal="center" vertical="center"/>
    </xf>
    <xf numFmtId="179" fontId="10" fillId="13" borderId="10" xfId="0" applyNumberFormat="1" applyFont="1" applyFill="1" applyBorder="1" applyAlignment="1">
      <alignment horizontal="center" vertical="center"/>
    </xf>
    <xf numFmtId="179" fontId="9" fillId="13" borderId="10" xfId="5" applyNumberFormat="1" applyFont="1" applyFill="1" applyBorder="1" applyAlignment="1">
      <alignment horizontal="center" vertical="center"/>
    </xf>
    <xf numFmtId="41" fontId="9" fillId="13" borderId="3" xfId="5" applyNumberFormat="1" applyFont="1" applyFill="1" applyBorder="1" applyAlignment="1">
      <alignment horizontal="center" vertical="center"/>
    </xf>
    <xf numFmtId="41" fontId="6" fillId="13" borderId="3" xfId="5" applyNumberFormat="1" applyFont="1" applyFill="1" applyBorder="1" applyAlignment="1">
      <alignment horizontal="center" vertical="center"/>
    </xf>
    <xf numFmtId="41" fontId="6" fillId="13" borderId="4" xfId="5" applyNumberFormat="1" applyFont="1" applyFill="1" applyBorder="1" applyAlignment="1">
      <alignment horizontal="center" vertical="center"/>
    </xf>
    <xf numFmtId="41" fontId="6" fillId="13" borderId="75" xfId="5" applyNumberFormat="1" applyFont="1" applyFill="1" applyBorder="1" applyAlignment="1">
      <alignment horizontal="center" vertical="center"/>
    </xf>
    <xf numFmtId="189" fontId="0" fillId="0" borderId="0" xfId="4" applyNumberFormat="1" applyFont="1" applyFill="1">
      <alignment vertical="center"/>
    </xf>
    <xf numFmtId="180" fontId="0" fillId="6" borderId="15" xfId="0" applyNumberFormat="1" applyFill="1" applyBorder="1" applyAlignment="1">
      <alignment horizontal="center"/>
    </xf>
    <xf numFmtId="0" fontId="11" fillId="6" borderId="2" xfId="0" applyFont="1" applyFill="1" applyBorder="1" applyAlignment="1">
      <alignment horizontal="center" vertical="center"/>
    </xf>
    <xf numFmtId="179" fontId="11" fillId="6" borderId="58" xfId="0" applyNumberFormat="1" applyFont="1" applyFill="1" applyBorder="1" applyAlignment="1">
      <alignment horizontal="center" vertical="center"/>
    </xf>
    <xf numFmtId="0" fontId="14" fillId="6" borderId="58" xfId="0" applyFont="1" applyFill="1" applyBorder="1" applyAlignment="1">
      <alignment horizontal="center" vertical="center"/>
    </xf>
    <xf numFmtId="0" fontId="11" fillId="6" borderId="58" xfId="0" applyFont="1" applyFill="1" applyBorder="1" applyAlignment="1">
      <alignment horizontal="center" vertical="center"/>
    </xf>
    <xf numFmtId="179" fontId="13" fillId="6" borderId="58" xfId="0" applyNumberFormat="1" applyFont="1" applyFill="1" applyBorder="1" applyAlignment="1"/>
    <xf numFmtId="179" fontId="0" fillId="6" borderId="58" xfId="0" applyNumberFormat="1" applyFill="1" applyBorder="1" applyAlignment="1"/>
    <xf numFmtId="179" fontId="0" fillId="6" borderId="48" xfId="0" applyNumberFormat="1" applyFill="1" applyBorder="1" applyAlignment="1"/>
    <xf numFmtId="41" fontId="14" fillId="6" borderId="76" xfId="5" applyNumberFormat="1" applyFont="1" applyFill="1" applyBorder="1" applyAlignment="1">
      <alignment horizontal="center" vertical="center"/>
    </xf>
    <xf numFmtId="189" fontId="11" fillId="0" borderId="0" xfId="4" applyNumberFormat="1" applyFont="1" applyFill="1" applyBorder="1" applyAlignment="1">
      <alignment horizontal="right"/>
    </xf>
    <xf numFmtId="179" fontId="11" fillId="0" borderId="58" xfId="0" applyNumberFormat="1" applyFont="1" applyBorder="1" applyAlignment="1">
      <alignment horizontal="center" vertical="center"/>
    </xf>
    <xf numFmtId="179" fontId="13" fillId="0" borderId="58" xfId="0" applyNumberFormat="1" applyFont="1" applyBorder="1" applyAlignment="1"/>
    <xf numFmtId="0" fontId="11" fillId="9" borderId="2" xfId="0" applyFont="1" applyFill="1" applyBorder="1" applyAlignment="1">
      <alignment horizontal="center" vertical="center"/>
    </xf>
    <xf numFmtId="179" fontId="11" fillId="9" borderId="58" xfId="0" applyNumberFormat="1" applyFont="1" applyFill="1" applyBorder="1" applyAlignment="1">
      <alignment horizontal="center" vertical="center"/>
    </xf>
    <xf numFmtId="0" fontId="14" fillId="9" borderId="58" xfId="0" applyFont="1" applyFill="1" applyBorder="1" applyAlignment="1">
      <alignment horizontal="center" vertical="center"/>
    </xf>
    <xf numFmtId="0" fontId="11" fillId="9" borderId="58" xfId="0" applyFont="1" applyFill="1" applyBorder="1" applyAlignment="1">
      <alignment horizontal="center" vertical="center"/>
    </xf>
    <xf numFmtId="179" fontId="13" fillId="9" borderId="58" xfId="0" applyNumberFormat="1" applyFont="1" applyFill="1" applyBorder="1" applyAlignment="1"/>
    <xf numFmtId="179" fontId="0" fillId="9" borderId="58" xfId="0" applyNumberFormat="1" applyFill="1" applyBorder="1" applyAlignment="1"/>
    <xf numFmtId="179" fontId="0" fillId="9" borderId="48" xfId="0" applyNumberFormat="1" applyFill="1" applyBorder="1" applyAlignment="1"/>
    <xf numFmtId="189" fontId="11" fillId="0" borderId="0" xfId="4" applyNumberFormat="1" applyFont="1" applyFill="1" applyBorder="1" applyAlignment="1">
      <alignment horizontal="right" vertical="center"/>
    </xf>
    <xf numFmtId="0" fontId="11" fillId="8" borderId="2" xfId="0" applyFont="1" applyFill="1" applyBorder="1" applyAlignment="1">
      <alignment horizontal="center" vertical="center"/>
    </xf>
    <xf numFmtId="179" fontId="11" fillId="8" borderId="58" xfId="0" applyNumberFormat="1" applyFont="1" applyFill="1" applyBorder="1" applyAlignment="1">
      <alignment horizontal="center" vertical="center"/>
    </xf>
    <xf numFmtId="0" fontId="14" fillId="8" borderId="58" xfId="0" applyFont="1" applyFill="1" applyBorder="1" applyAlignment="1">
      <alignment horizontal="center" vertical="center"/>
    </xf>
    <xf numFmtId="0" fontId="11" fillId="8" borderId="58" xfId="0" applyFont="1" applyFill="1" applyBorder="1" applyAlignment="1">
      <alignment horizontal="center" vertical="center"/>
    </xf>
    <xf numFmtId="179" fontId="13" fillId="8" borderId="58" xfId="0" applyNumberFormat="1" applyFont="1" applyFill="1" applyBorder="1" applyAlignment="1"/>
    <xf numFmtId="179" fontId="29" fillId="8" borderId="58" xfId="0" applyNumberFormat="1" applyFont="1" applyFill="1" applyBorder="1" applyAlignment="1"/>
    <xf numFmtId="179" fontId="0" fillId="8" borderId="58" xfId="0" applyNumberFormat="1" applyFill="1" applyBorder="1" applyAlignment="1"/>
    <xf numFmtId="179" fontId="0" fillId="8" borderId="48" xfId="0" applyNumberFormat="1" applyFill="1" applyBorder="1" applyAlignment="1"/>
    <xf numFmtId="0" fontId="11" fillId="6" borderId="59" xfId="0" applyFont="1" applyFill="1" applyBorder="1" applyAlignment="1">
      <alignment horizontal="center" vertical="center"/>
    </xf>
    <xf numFmtId="179" fontId="0" fillId="3" borderId="48" xfId="0" applyNumberFormat="1" applyFill="1" applyBorder="1" applyAlignment="1"/>
    <xf numFmtId="0" fontId="11" fillId="0" borderId="2" xfId="0" applyFont="1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179" fontId="0" fillId="0" borderId="58" xfId="0" applyNumberFormat="1" applyBorder="1" applyAlignment="1"/>
    <xf numFmtId="179" fontId="0" fillId="0" borderId="48" xfId="0" applyNumberFormat="1" applyBorder="1" applyAlignment="1"/>
    <xf numFmtId="41" fontId="14" fillId="0" borderId="76" xfId="5" applyNumberFormat="1" applyFont="1" applyFill="1" applyBorder="1" applyAlignment="1">
      <alignment horizontal="center" vertical="center"/>
    </xf>
    <xf numFmtId="179" fontId="29" fillId="0" borderId="58" xfId="0" applyNumberFormat="1" applyFont="1" applyBorder="1" applyAlignment="1"/>
    <xf numFmtId="179" fontId="0" fillId="6" borderId="72" xfId="0" applyNumberFormat="1" applyFill="1" applyBorder="1" applyAlignment="1"/>
    <xf numFmtId="41" fontId="14" fillId="6" borderId="77" xfId="5" applyNumberFormat="1" applyFont="1" applyFill="1" applyBorder="1" applyAlignment="1">
      <alignment horizontal="center" vertical="center"/>
    </xf>
    <xf numFmtId="0" fontId="11" fillId="6" borderId="78" xfId="0" applyFont="1" applyFill="1" applyBorder="1" applyAlignment="1">
      <alignment horizontal="center" vertical="center"/>
    </xf>
    <xf numFmtId="0" fontId="14" fillId="6" borderId="79" xfId="0" applyFont="1" applyFill="1" applyBorder="1" applyAlignment="1">
      <alignment horizontal="center" vertical="center"/>
    </xf>
    <xf numFmtId="0" fontId="11" fillId="6" borderId="79" xfId="0" applyFont="1" applyFill="1" applyBorder="1" applyAlignment="1">
      <alignment horizontal="center" vertical="center"/>
    </xf>
    <xf numFmtId="179" fontId="0" fillId="6" borderId="80" xfId="0" applyNumberFormat="1" applyFill="1" applyBorder="1" applyAlignment="1"/>
    <xf numFmtId="41" fontId="14" fillId="6" borderId="80" xfId="5" applyNumberFormat="1" applyFont="1" applyFill="1" applyBorder="1" applyAlignment="1">
      <alignment horizontal="center" vertical="center"/>
    </xf>
    <xf numFmtId="179" fontId="0" fillId="0" borderId="80" xfId="0" applyNumberFormat="1" applyBorder="1" applyAlignment="1"/>
    <xf numFmtId="41" fontId="14" fillId="0" borderId="80" xfId="5" applyNumberFormat="1" applyFont="1" applyFill="1" applyBorder="1" applyAlignment="1">
      <alignment horizontal="center" vertical="center"/>
    </xf>
    <xf numFmtId="180" fontId="0" fillId="14" borderId="69" xfId="0" applyNumberFormat="1" applyFill="1" applyBorder="1" applyAlignment="1">
      <alignment horizontal="center"/>
    </xf>
    <xf numFmtId="0" fontId="11" fillId="14" borderId="28" xfId="0" applyFont="1" applyFill="1" applyBorder="1" applyAlignment="1">
      <alignment horizontal="center" vertical="center"/>
    </xf>
    <xf numFmtId="181" fontId="19" fillId="14" borderId="79" xfId="5" applyNumberFormat="1" applyFont="1" applyFill="1" applyBorder="1" applyAlignment="1">
      <alignment horizontal="center" vertical="center"/>
    </xf>
    <xf numFmtId="181" fontId="20" fillId="14" borderId="79" xfId="5" applyNumberFormat="1" applyFont="1" applyFill="1" applyBorder="1" applyAlignment="1">
      <alignment horizontal="center" vertical="center"/>
    </xf>
    <xf numFmtId="179" fontId="30" fillId="14" borderId="73" xfId="0" applyNumberFormat="1" applyFont="1" applyFill="1" applyBorder="1" applyAlignment="1">
      <alignment horizontal="center" vertical="center"/>
    </xf>
    <xf numFmtId="190" fontId="30" fillId="14" borderId="62" xfId="0" applyNumberFormat="1" applyFont="1" applyFill="1" applyBorder="1" applyAlignment="1">
      <alignment horizontal="center" vertical="center"/>
    </xf>
    <xf numFmtId="179" fontId="19" fillId="14" borderId="62" xfId="5" applyNumberFormat="1" applyFont="1" applyFill="1" applyBorder="1" applyAlignment="1">
      <alignment horizontal="center" vertical="center"/>
    </xf>
    <xf numFmtId="42" fontId="19" fillId="14" borderId="73" xfId="5" applyFont="1" applyFill="1" applyBorder="1" applyAlignment="1">
      <alignment horizontal="center" vertical="center"/>
    </xf>
    <xf numFmtId="42" fontId="19" fillId="0" borderId="58" xfId="5" applyFont="1" applyFill="1" applyBorder="1" applyAlignment="1">
      <alignment horizontal="center" vertical="center"/>
    </xf>
    <xf numFmtId="42" fontId="19" fillId="14" borderId="81" xfId="5" applyFont="1" applyFill="1" applyBorder="1" applyAlignment="1">
      <alignment horizontal="center" vertical="center"/>
    </xf>
    <xf numFmtId="180" fontId="11" fillId="15" borderId="11" xfId="0" applyNumberFormat="1" applyFont="1" applyFill="1" applyBorder="1" applyAlignment="1"/>
    <xf numFmtId="0" fontId="11" fillId="14" borderId="12" xfId="0" applyFont="1" applyFill="1" applyBorder="1" applyAlignment="1">
      <alignment horizontal="center" vertical="center"/>
    </xf>
    <xf numFmtId="187" fontId="19" fillId="14" borderId="79" xfId="5" applyNumberFormat="1" applyFont="1" applyFill="1" applyBorder="1" applyAlignment="1">
      <alignment horizontal="center" vertical="center"/>
    </xf>
    <xf numFmtId="9" fontId="19" fillId="0" borderId="13" xfId="5" applyNumberFormat="1" applyFont="1" applyFill="1" applyBorder="1" applyAlignment="1">
      <alignment horizontal="center" vertical="center"/>
    </xf>
    <xf numFmtId="9" fontId="20" fillId="0" borderId="13" xfId="5" applyNumberFormat="1" applyFont="1" applyFill="1" applyBorder="1" applyAlignment="1">
      <alignment horizontal="center" vertical="center"/>
    </xf>
    <xf numFmtId="179" fontId="30" fillId="14" borderId="31" xfId="0" applyNumberFormat="1" applyFont="1" applyFill="1" applyBorder="1" applyAlignment="1">
      <alignment horizontal="center" vertical="center"/>
    </xf>
    <xf numFmtId="179" fontId="20" fillId="0" borderId="31" xfId="5" applyNumberFormat="1" applyFont="1" applyFill="1" applyBorder="1" applyAlignment="1">
      <alignment horizontal="center" vertical="center"/>
    </xf>
    <xf numFmtId="179" fontId="13" fillId="0" borderId="31" xfId="0" applyNumberFormat="1" applyFont="1" applyBorder="1">
      <alignment vertical="center"/>
    </xf>
    <xf numFmtId="42" fontId="19" fillId="0" borderId="0" xfId="5" applyFont="1" applyFill="1" applyBorder="1" applyAlignment="1">
      <alignment horizontal="center" vertical="center"/>
    </xf>
    <xf numFmtId="42" fontId="19" fillId="0" borderId="14" xfId="5" applyFont="1" applyFill="1" applyBorder="1" applyAlignment="1">
      <alignment horizontal="center" vertical="center"/>
    </xf>
    <xf numFmtId="191" fontId="0" fillId="0" borderId="0" xfId="0" applyNumberFormat="1">
      <alignment vertical="center"/>
    </xf>
  </cellXfs>
  <cellStyles count="6">
    <cellStyle name="쉼표 [0]" xfId="4" builtinId="6"/>
    <cellStyle name="쉼표 [0] 2" xfId="1" xr:uid="{65962D3E-862D-4AC2-9380-FC0906209278}"/>
    <cellStyle name="통화 [0]" xfId="5" builtinId="7"/>
    <cellStyle name="표준" xfId="0" builtinId="0"/>
    <cellStyle name="표준 2" xfId="2" xr:uid="{931C9EF6-8AAD-44B3-8224-A6A9EFD3189F}"/>
    <cellStyle name="표준 3" xfId="3" xr:uid="{F7D916C2-AE26-4C97-BACB-C3BD562C423E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50EF-0065-4A29-9282-652A6A576D34}">
  <dimension ref="A1:AQ54"/>
  <sheetViews>
    <sheetView tabSelected="1" zoomScale="85" zoomScaleNormal="85" workbookViewId="0">
      <pane xSplit="1" ySplit="2" topLeftCell="U9" activePane="bottomRight" state="frozen"/>
      <selection pane="topRight" activeCell="B1" sqref="B1"/>
      <selection pane="bottomLeft" activeCell="A3" sqref="A3"/>
      <selection pane="bottomRight" activeCell="AP34" sqref="AP34"/>
    </sheetView>
  </sheetViews>
  <sheetFormatPr defaultRowHeight="16.5" x14ac:dyDescent="0.3"/>
  <cols>
    <col min="1" max="1" width="9.75" bestFit="1" customWidth="1"/>
    <col min="2" max="2" width="5.875" customWidth="1"/>
    <col min="3" max="3" width="9.875" bestFit="1" customWidth="1"/>
    <col min="4" max="4" width="5.875" customWidth="1"/>
    <col min="5" max="5" width="10.5" bestFit="1" customWidth="1"/>
    <col min="6" max="6" width="5.875" customWidth="1"/>
    <col min="7" max="7" width="9.875" bestFit="1" customWidth="1"/>
    <col min="8" max="8" width="8.875" bestFit="1" customWidth="1"/>
    <col min="9" max="9" width="5.875" bestFit="1" customWidth="1"/>
    <col min="10" max="10" width="9.875" bestFit="1" customWidth="1"/>
    <col min="11" max="11" width="9.875" customWidth="1"/>
    <col min="12" max="12" width="7.5" bestFit="1" customWidth="1"/>
    <col min="13" max="13" width="5.875" bestFit="1" customWidth="1"/>
    <col min="14" max="14" width="9.875" bestFit="1" customWidth="1"/>
    <col min="15" max="15" width="11" bestFit="1" customWidth="1"/>
    <col min="16" max="16" width="7.5" bestFit="1" customWidth="1"/>
    <col min="17" max="17" width="5.875" bestFit="1" customWidth="1"/>
    <col min="18" max="18" width="9.875" bestFit="1" customWidth="1"/>
    <col min="19" max="19" width="9.875" customWidth="1"/>
    <col min="20" max="20" width="7.5" bestFit="1" customWidth="1"/>
    <col min="21" max="21" width="5.25" bestFit="1" customWidth="1"/>
    <col min="22" max="22" width="9.875" bestFit="1" customWidth="1"/>
    <col min="23" max="23" width="9.875" customWidth="1"/>
    <col min="24" max="24" width="7.5" bestFit="1" customWidth="1"/>
    <col min="25" max="25" width="5.25" bestFit="1" customWidth="1"/>
    <col min="26" max="26" width="9.875" bestFit="1" customWidth="1"/>
    <col min="27" max="27" width="9.875" customWidth="1"/>
    <col min="28" max="28" width="7.5" bestFit="1" customWidth="1"/>
    <col min="29" max="29" width="5.875" bestFit="1" customWidth="1"/>
    <col min="30" max="30" width="9.875" bestFit="1" customWidth="1"/>
    <col min="31" max="31" width="9.875" customWidth="1"/>
    <col min="32" max="32" width="2.75" customWidth="1"/>
    <col min="33" max="33" width="14.375" bestFit="1" customWidth="1"/>
    <col min="34" max="34" width="11" customWidth="1"/>
    <col min="35" max="35" width="13.5" bestFit="1" customWidth="1"/>
    <col min="36" max="36" width="14.375" bestFit="1" customWidth="1"/>
    <col min="38" max="38" width="11.625" customWidth="1"/>
    <col min="39" max="39" width="16.125" bestFit="1" customWidth="1"/>
    <col min="40" max="40" width="12.125" customWidth="1"/>
    <col min="41" max="41" width="16.5" bestFit="1" customWidth="1"/>
  </cols>
  <sheetData>
    <row r="1" spans="1:41" ht="17.25" thickBot="1" x14ac:dyDescent="0.35">
      <c r="A1" t="s">
        <v>43</v>
      </c>
      <c r="B1" s="131" t="s">
        <v>3</v>
      </c>
      <c r="C1" s="132">
        <v>4000000</v>
      </c>
      <c r="D1" s="133" t="s">
        <v>62</v>
      </c>
      <c r="E1" s="132">
        <v>5800000</v>
      </c>
      <c r="F1" s="133" t="s">
        <v>63</v>
      </c>
      <c r="G1" s="132">
        <v>4800000</v>
      </c>
      <c r="H1" s="134" t="s">
        <v>64</v>
      </c>
      <c r="J1" s="6" t="s">
        <v>27</v>
      </c>
      <c r="K1" s="82">
        <v>55000</v>
      </c>
      <c r="L1" s="135" t="s">
        <v>65</v>
      </c>
      <c r="N1" s="6" t="s">
        <v>27</v>
      </c>
      <c r="O1" s="82">
        <v>45000</v>
      </c>
      <c r="P1" s="135" t="s">
        <v>66</v>
      </c>
      <c r="R1" s="6" t="s">
        <v>27</v>
      </c>
      <c r="S1" s="82">
        <v>35000</v>
      </c>
      <c r="T1" s="135" t="s">
        <v>67</v>
      </c>
      <c r="V1" s="6" t="s">
        <v>27</v>
      </c>
      <c r="W1" s="82">
        <v>50000</v>
      </c>
      <c r="X1" s="135" t="s">
        <v>68</v>
      </c>
      <c r="Z1" s="6" t="s">
        <v>27</v>
      </c>
      <c r="AA1" s="82">
        <v>50000</v>
      </c>
      <c r="AB1" s="135" t="s">
        <v>69</v>
      </c>
      <c r="AD1" s="6" t="s">
        <v>27</v>
      </c>
      <c r="AE1" s="150">
        <v>40000</v>
      </c>
      <c r="AL1" t="s">
        <v>50</v>
      </c>
    </row>
    <row r="2" spans="1:41" ht="17.25" thickBot="1" x14ac:dyDescent="0.35">
      <c r="A2">
        <f>VLOOKUP(A1,달력!A1:B12,2,FALSE)</f>
        <v>31</v>
      </c>
      <c r="B2" s="122" t="s">
        <v>0</v>
      </c>
      <c r="C2" s="123" t="s">
        <v>46</v>
      </c>
      <c r="D2" s="123" t="s">
        <v>0</v>
      </c>
      <c r="E2" s="124" t="s">
        <v>46</v>
      </c>
      <c r="F2" s="125" t="s">
        <v>0</v>
      </c>
      <c r="G2" s="126" t="s">
        <v>46</v>
      </c>
      <c r="H2" s="104" t="s">
        <v>0</v>
      </c>
      <c r="I2" s="94" t="s">
        <v>1</v>
      </c>
      <c r="J2" s="94" t="s">
        <v>2</v>
      </c>
      <c r="K2" s="95" t="s">
        <v>45</v>
      </c>
      <c r="L2" s="93" t="s">
        <v>0</v>
      </c>
      <c r="M2" s="94" t="s">
        <v>1</v>
      </c>
      <c r="N2" s="94" t="s">
        <v>2</v>
      </c>
      <c r="O2" s="95" t="s">
        <v>45</v>
      </c>
      <c r="P2" s="93" t="s">
        <v>0</v>
      </c>
      <c r="Q2" s="94" t="s">
        <v>1</v>
      </c>
      <c r="R2" s="94" t="s">
        <v>2</v>
      </c>
      <c r="S2" s="95" t="s">
        <v>45</v>
      </c>
      <c r="T2" s="93" t="s">
        <v>0</v>
      </c>
      <c r="U2" s="94" t="s">
        <v>1</v>
      </c>
      <c r="V2" s="94" t="s">
        <v>2</v>
      </c>
      <c r="W2" s="95" t="s">
        <v>45</v>
      </c>
      <c r="X2" s="93" t="s">
        <v>0</v>
      </c>
      <c r="Y2" s="94" t="s">
        <v>1</v>
      </c>
      <c r="Z2" s="94" t="s">
        <v>2</v>
      </c>
      <c r="AA2" s="95" t="s">
        <v>45</v>
      </c>
      <c r="AB2" s="93" t="s">
        <v>0</v>
      </c>
      <c r="AC2" s="94" t="s">
        <v>1</v>
      </c>
      <c r="AD2" s="94" t="s">
        <v>2</v>
      </c>
      <c r="AE2" s="95" t="s">
        <v>45</v>
      </c>
      <c r="AG2" s="138" t="s">
        <v>44</v>
      </c>
      <c r="AH2" s="98"/>
      <c r="AI2" s="144" t="s">
        <v>47</v>
      </c>
      <c r="AJ2" s="146" t="s">
        <v>44</v>
      </c>
      <c r="AK2" s="146" t="s">
        <v>48</v>
      </c>
      <c r="AL2" s="146" t="s">
        <v>53</v>
      </c>
      <c r="AM2" s="146" t="s">
        <v>54</v>
      </c>
      <c r="AN2" s="146" t="s">
        <v>55</v>
      </c>
      <c r="AO2" s="144" t="s">
        <v>61</v>
      </c>
    </row>
    <row r="3" spans="1:41" x14ac:dyDescent="0.3">
      <c r="A3" s="1">
        <v>44896</v>
      </c>
      <c r="B3" s="118">
        <v>1</v>
      </c>
      <c r="C3" s="119">
        <f>C$1/$A$2*B3</f>
        <v>129032.25806451614</v>
      </c>
      <c r="D3" s="120">
        <v>1</v>
      </c>
      <c r="E3" s="121">
        <f>IF(SUM(D$3:$D3)&gt;22,0,D3*(E$1/22))</f>
        <v>263636.36363636365</v>
      </c>
      <c r="F3" s="120">
        <v>1</v>
      </c>
      <c r="G3" s="121">
        <f>IF(SUM($F$3:F3)&gt;20,0,F3*(G$1/20))</f>
        <v>240000</v>
      </c>
      <c r="H3" s="127"/>
      <c r="I3" s="90"/>
      <c r="J3" s="91" t="str">
        <f t="shared" ref="J3:J33" si="0">IF(H3 = "", "休",(I3-H3+(I3&lt;H3))*24)</f>
        <v>休</v>
      </c>
      <c r="K3" s="92" t="str">
        <f t="shared" ref="K3:K33" si="1">IF(J3="休","",J3*K$1)</f>
        <v/>
      </c>
      <c r="L3" s="89">
        <v>0.83333333333333337</v>
      </c>
      <c r="M3" s="90">
        <v>0</v>
      </c>
      <c r="N3" s="91">
        <f>IF(L3 = "", "休",(M3-L3+(M3&lt;L3))*24)</f>
        <v>3.9999999999999991</v>
      </c>
      <c r="O3" s="92">
        <f t="shared" ref="O3:O33" si="2">IF(N3="休","",N3*O$1)</f>
        <v>179999.99999999997</v>
      </c>
      <c r="P3" s="89">
        <v>0.83333333333333337</v>
      </c>
      <c r="Q3" s="90">
        <v>0</v>
      </c>
      <c r="R3" s="91">
        <f>IF(P3 = "", "休",(Q3-P3+(Q3&lt;P3))*24)</f>
        <v>3.9999999999999991</v>
      </c>
      <c r="S3" s="92">
        <f t="shared" ref="S3:S33" si="3">IF(R3="休","",R3*S$1)</f>
        <v>139999.99999999997</v>
      </c>
      <c r="T3" s="89"/>
      <c r="U3" s="90"/>
      <c r="V3" s="91" t="str">
        <f>IF(T3 = "", "休",(U3-T3+(U3&lt;T3))*24)</f>
        <v>休</v>
      </c>
      <c r="W3" s="92" t="str">
        <f t="shared" ref="W3:W33" si="4">IF(V3="休","",V3*W$1)</f>
        <v/>
      </c>
      <c r="X3" s="89"/>
      <c r="Y3" s="90"/>
      <c r="Z3" s="91" t="str">
        <f>IF(X3 = "", "休",(Y3-X3+(Y3&lt;X3))*24)</f>
        <v>休</v>
      </c>
      <c r="AA3" s="92" t="str">
        <f t="shared" ref="AA3:AA33" si="5">IF(Z3="休","",Z3*AA$1)</f>
        <v/>
      </c>
      <c r="AB3" s="89">
        <v>0.8125</v>
      </c>
      <c r="AC3" s="90">
        <v>0.9375</v>
      </c>
      <c r="AD3" s="91">
        <f>IF(AB3 = "", "休",(AC3-AB3+(AC3&lt;AB3))*24)</f>
        <v>3</v>
      </c>
      <c r="AE3" s="92">
        <f t="shared" ref="AE3:AE33" si="6">IF(AD3="休","",AD3*AE$1)</f>
        <v>120000</v>
      </c>
      <c r="AG3" s="139">
        <f>SUMIF($B$2:$AF$2,"당일 급여",B3:AF3)</f>
        <v>1072668.6217008797</v>
      </c>
      <c r="AH3" s="98"/>
      <c r="AI3" s="103">
        <f>주류장부!K3</f>
        <v>1510000</v>
      </c>
      <c r="AJ3" s="103">
        <f>AG3</f>
        <v>1072668.6217008797</v>
      </c>
      <c r="AK3" s="145">
        <f t="shared" ref="AK3:AK33" si="7">IFERROR(AJ3/AI3,"")</f>
        <v>0.71037657066283422</v>
      </c>
      <c r="AL3" s="103">
        <f t="shared" ref="AL3:AL33" si="8">AI3*0.1</f>
        <v>151000</v>
      </c>
      <c r="AM3" s="103">
        <f t="shared" ref="AM3:AM33" si="9">AI3*0.025</f>
        <v>37750</v>
      </c>
      <c r="AN3" s="103">
        <f t="shared" ref="AN3:AN33" si="10">AI3*0.23</f>
        <v>347300</v>
      </c>
      <c r="AO3" s="103">
        <f>AI3-SUM(AJ3:AN3)</f>
        <v>-98719.332077450352</v>
      </c>
    </row>
    <row r="4" spans="1:41" x14ac:dyDescent="0.3">
      <c r="A4" s="1">
        <v>44897</v>
      </c>
      <c r="B4" s="101">
        <v>1</v>
      </c>
      <c r="C4" s="114">
        <f t="shared" ref="C4:C33" si="11">C$1/$A$2*B4</f>
        <v>129032.25806451614</v>
      </c>
      <c r="D4" s="111">
        <v>1</v>
      </c>
      <c r="E4" s="114">
        <f>IF(SUM(D$3:$D4)&gt;22,0,D4*(E$1/22))</f>
        <v>263636.36363636365</v>
      </c>
      <c r="F4" s="111">
        <v>1</v>
      </c>
      <c r="G4" s="114">
        <f>IF(SUM($F$3:F4)&gt;20,0,F4*(G$1/20))</f>
        <v>240000</v>
      </c>
      <c r="H4" s="128"/>
      <c r="I4" s="105"/>
      <c r="J4" s="83" t="str">
        <f t="shared" si="0"/>
        <v>休</v>
      </c>
      <c r="K4" s="106" t="str">
        <f t="shared" si="1"/>
        <v/>
      </c>
      <c r="L4" s="7"/>
      <c r="M4" s="4"/>
      <c r="N4" s="83" t="str">
        <f t="shared" ref="N4:N33" si="12">IF(L4 = "", "休",(M4-L4+(M4&lt;L4))*24)</f>
        <v>休</v>
      </c>
      <c r="O4" s="86" t="str">
        <f t="shared" si="2"/>
        <v/>
      </c>
      <c r="P4" s="7">
        <v>0.86458333333333337</v>
      </c>
      <c r="Q4" s="4">
        <v>3.125E-2</v>
      </c>
      <c r="R4" s="83">
        <f t="shared" ref="R4:R33" si="13">IF(P4 = "", "休",(Q4-P4+(Q4&lt;P4))*24)</f>
        <v>3.9999999999999991</v>
      </c>
      <c r="S4" s="86">
        <f t="shared" si="3"/>
        <v>139999.99999999997</v>
      </c>
      <c r="T4" s="7"/>
      <c r="U4" s="4"/>
      <c r="V4" s="83" t="str">
        <f t="shared" ref="V4:V33" si="14">IF(T4 = "", "休",(U4-T4+(U4&lt;T4))*24)</f>
        <v>休</v>
      </c>
      <c r="W4" s="86" t="str">
        <f t="shared" si="4"/>
        <v/>
      </c>
      <c r="X4" s="7">
        <v>0.85416666666666663</v>
      </c>
      <c r="Y4" s="4">
        <v>4.1666666666666664E-2</v>
      </c>
      <c r="Z4" s="83">
        <f t="shared" ref="Z4:Z33" si="15">IF(X4 = "", "休",(Y4-X4+(Y4&lt;X4))*24)</f>
        <v>4.5</v>
      </c>
      <c r="AA4" s="86">
        <f t="shared" si="5"/>
        <v>225000</v>
      </c>
      <c r="AB4" s="89">
        <v>0.8125</v>
      </c>
      <c r="AC4" s="90">
        <v>0.9375</v>
      </c>
      <c r="AD4" s="83">
        <f t="shared" ref="AD4:AD33" si="16">IF(AB4 = "", "休",(AC4-AB4+(AC4&lt;AB4))*24)</f>
        <v>3</v>
      </c>
      <c r="AE4" s="86">
        <f t="shared" si="6"/>
        <v>120000</v>
      </c>
      <c r="AG4" s="140">
        <f t="shared" ref="AG4:AG33" si="17">SUMIF($B$2:$AF$2,"당일 급여",B4:AF4)</f>
        <v>1117668.6217008797</v>
      </c>
      <c r="AH4" s="98"/>
      <c r="AI4" s="103">
        <f>주류장부!K4</f>
        <v>2720000</v>
      </c>
      <c r="AJ4" s="103">
        <f t="shared" ref="AJ4:AJ33" si="18">AG4</f>
        <v>1117668.6217008797</v>
      </c>
      <c r="AK4" s="145">
        <f t="shared" si="7"/>
        <v>0.41090758150767637</v>
      </c>
      <c r="AL4" s="103">
        <f t="shared" si="8"/>
        <v>272000</v>
      </c>
      <c r="AM4" s="103">
        <f t="shared" si="9"/>
        <v>68000</v>
      </c>
      <c r="AN4" s="103">
        <f t="shared" si="10"/>
        <v>625600</v>
      </c>
      <c r="AO4" s="103">
        <f t="shared" ref="AO4:AO33" si="19">AI4-SUM(AJ4:AN4)</f>
        <v>636730.9673915389</v>
      </c>
    </row>
    <row r="5" spans="1:41" x14ac:dyDescent="0.3">
      <c r="A5" s="2">
        <v>44898</v>
      </c>
      <c r="B5" s="102">
        <v>1</v>
      </c>
      <c r="C5" s="115">
        <f t="shared" si="11"/>
        <v>129032.25806451614</v>
      </c>
      <c r="D5" s="112"/>
      <c r="E5" s="115">
        <f>IF(SUM(D$3:$D5)&gt;22,0,D5*(E$1/22))</f>
        <v>0</v>
      </c>
      <c r="F5" s="112">
        <v>1</v>
      </c>
      <c r="G5" s="115">
        <f>IF(SUM($F$3:F5)&gt;20,0,F5*(G$1/20))</f>
        <v>240000</v>
      </c>
      <c r="H5" s="129"/>
      <c r="I5" s="107"/>
      <c r="J5" s="84" t="str">
        <f t="shared" si="0"/>
        <v>休</v>
      </c>
      <c r="K5" s="108" t="str">
        <f t="shared" si="1"/>
        <v/>
      </c>
      <c r="L5" s="8"/>
      <c r="M5" s="5"/>
      <c r="N5" s="84" t="str">
        <f t="shared" si="12"/>
        <v>休</v>
      </c>
      <c r="O5" s="87" t="str">
        <f t="shared" si="2"/>
        <v/>
      </c>
      <c r="P5" s="8"/>
      <c r="Q5" s="5"/>
      <c r="R5" s="84" t="str">
        <f t="shared" si="13"/>
        <v>休</v>
      </c>
      <c r="S5" s="87" t="str">
        <f t="shared" si="3"/>
        <v/>
      </c>
      <c r="T5" s="8"/>
      <c r="U5" s="5"/>
      <c r="V5" s="84" t="str">
        <f t="shared" si="14"/>
        <v>休</v>
      </c>
      <c r="W5" s="87" t="str">
        <f t="shared" si="4"/>
        <v/>
      </c>
      <c r="X5" s="8"/>
      <c r="Y5" s="5"/>
      <c r="Z5" s="84" t="str">
        <f t="shared" si="15"/>
        <v>休</v>
      </c>
      <c r="AA5" s="87" t="str">
        <f t="shared" si="5"/>
        <v/>
      </c>
      <c r="AB5" s="8"/>
      <c r="AC5" s="5"/>
      <c r="AD5" s="84" t="str">
        <f t="shared" si="16"/>
        <v>休</v>
      </c>
      <c r="AE5" s="87" t="str">
        <f t="shared" si="6"/>
        <v/>
      </c>
      <c r="AG5" s="141">
        <f t="shared" si="17"/>
        <v>369032.25806451612</v>
      </c>
      <c r="AH5" s="98"/>
      <c r="AI5" s="103">
        <f>주류장부!K5</f>
        <v>1050000</v>
      </c>
      <c r="AJ5" s="103">
        <f t="shared" si="18"/>
        <v>369032.25806451612</v>
      </c>
      <c r="AK5" s="145">
        <f t="shared" si="7"/>
        <v>0.35145929339477727</v>
      </c>
      <c r="AL5" s="103">
        <f t="shared" si="8"/>
        <v>105000</v>
      </c>
      <c r="AM5" s="103">
        <f t="shared" si="9"/>
        <v>26250</v>
      </c>
      <c r="AN5" s="103">
        <f t="shared" si="10"/>
        <v>241500</v>
      </c>
      <c r="AO5" s="103">
        <f t="shared" si="19"/>
        <v>308217.39047619049</v>
      </c>
    </row>
    <row r="6" spans="1:41" x14ac:dyDescent="0.3">
      <c r="A6" s="2">
        <v>44899</v>
      </c>
      <c r="B6" s="102">
        <v>1</v>
      </c>
      <c r="C6" s="115">
        <f t="shared" si="11"/>
        <v>129032.25806451614</v>
      </c>
      <c r="D6" s="112"/>
      <c r="E6" s="115">
        <f>IF(SUM(D$3:$D6)&gt;22,0,D6*(E$1/22))</f>
        <v>0</v>
      </c>
      <c r="F6" s="112"/>
      <c r="G6" s="115">
        <f>IF(SUM($F$3:F6)&gt;20,0,F6*(G$1/20))</f>
        <v>0</v>
      </c>
      <c r="H6" s="129"/>
      <c r="I6" s="107"/>
      <c r="J6" s="84" t="str">
        <f t="shared" si="0"/>
        <v>休</v>
      </c>
      <c r="K6" s="108" t="str">
        <f t="shared" si="1"/>
        <v/>
      </c>
      <c r="L6" s="8"/>
      <c r="M6" s="5"/>
      <c r="N6" s="84" t="str">
        <f t="shared" si="12"/>
        <v>休</v>
      </c>
      <c r="O6" s="87" t="str">
        <f t="shared" si="2"/>
        <v/>
      </c>
      <c r="P6" s="8"/>
      <c r="Q6" s="5"/>
      <c r="R6" s="84" t="str">
        <f t="shared" si="13"/>
        <v>休</v>
      </c>
      <c r="S6" s="87" t="str">
        <f t="shared" si="3"/>
        <v/>
      </c>
      <c r="T6" s="8"/>
      <c r="U6" s="5"/>
      <c r="V6" s="84" t="str">
        <f t="shared" si="14"/>
        <v>休</v>
      </c>
      <c r="W6" s="87" t="str">
        <f t="shared" si="4"/>
        <v/>
      </c>
      <c r="X6" s="8"/>
      <c r="Y6" s="5"/>
      <c r="Z6" s="84" t="str">
        <f t="shared" si="15"/>
        <v>休</v>
      </c>
      <c r="AA6" s="87" t="str">
        <f t="shared" si="5"/>
        <v/>
      </c>
      <c r="AB6" s="8"/>
      <c r="AC6" s="5"/>
      <c r="AD6" s="84" t="str">
        <f t="shared" si="16"/>
        <v>休</v>
      </c>
      <c r="AE6" s="87" t="str">
        <f t="shared" si="6"/>
        <v/>
      </c>
      <c r="AG6" s="141">
        <f t="shared" si="17"/>
        <v>129032.25806451614</v>
      </c>
      <c r="AH6" s="98"/>
      <c r="AI6" s="103">
        <f>주류장부!K6</f>
        <v>0</v>
      </c>
      <c r="AJ6" s="103">
        <f t="shared" si="18"/>
        <v>129032.25806451614</v>
      </c>
      <c r="AK6" s="145" t="str">
        <f t="shared" si="7"/>
        <v/>
      </c>
      <c r="AL6" s="103">
        <f t="shared" si="8"/>
        <v>0</v>
      </c>
      <c r="AM6" s="103">
        <f t="shared" si="9"/>
        <v>0</v>
      </c>
      <c r="AN6" s="103">
        <f t="shared" si="10"/>
        <v>0</v>
      </c>
      <c r="AO6" s="103">
        <f t="shared" si="19"/>
        <v>-129032.25806451614</v>
      </c>
    </row>
    <row r="7" spans="1:41" x14ac:dyDescent="0.3">
      <c r="A7" s="1">
        <v>44900</v>
      </c>
      <c r="B7" s="101">
        <v>1</v>
      </c>
      <c r="C7" s="114">
        <f t="shared" si="11"/>
        <v>129032.25806451614</v>
      </c>
      <c r="D7" s="111">
        <v>1</v>
      </c>
      <c r="E7" s="114">
        <f>IF(SUM(D$3:$D7)&gt;22,0,D7*(E$1/22))</f>
        <v>263636.36363636365</v>
      </c>
      <c r="F7" s="111">
        <v>1</v>
      </c>
      <c r="G7" s="114">
        <f>IF(SUM($F$3:F7)&gt;20,0,F7*(G$1/20))</f>
        <v>240000</v>
      </c>
      <c r="H7" s="128">
        <v>0.85416666666666663</v>
      </c>
      <c r="I7" s="105">
        <v>8.3333333333333329E-2</v>
      </c>
      <c r="J7" s="83">
        <f t="shared" si="0"/>
        <v>5.5000000000000018</v>
      </c>
      <c r="K7" s="106">
        <f t="shared" si="1"/>
        <v>302500.00000000012</v>
      </c>
      <c r="L7" s="7"/>
      <c r="M7" s="4"/>
      <c r="N7" s="83" t="str">
        <f t="shared" si="12"/>
        <v>休</v>
      </c>
      <c r="O7" s="86" t="str">
        <f t="shared" si="2"/>
        <v/>
      </c>
      <c r="P7" s="7">
        <v>0.85416666666666663</v>
      </c>
      <c r="Q7" s="4">
        <v>1.0208333333333333</v>
      </c>
      <c r="R7" s="83">
        <f t="shared" si="13"/>
        <v>3.9999999999999991</v>
      </c>
      <c r="S7" s="86">
        <f t="shared" si="3"/>
        <v>139999.99999999997</v>
      </c>
      <c r="T7" s="7">
        <v>0.85416666666666663</v>
      </c>
      <c r="U7" s="4">
        <v>0</v>
      </c>
      <c r="V7" s="83">
        <f t="shared" si="14"/>
        <v>3.5000000000000009</v>
      </c>
      <c r="W7" s="86">
        <f t="shared" si="4"/>
        <v>175000.00000000006</v>
      </c>
      <c r="X7" s="7"/>
      <c r="Y7" s="4"/>
      <c r="Z7" s="83" t="str">
        <f t="shared" si="15"/>
        <v>休</v>
      </c>
      <c r="AA7" s="86" t="str">
        <f t="shared" si="5"/>
        <v/>
      </c>
      <c r="AB7" s="89">
        <v>0.8125</v>
      </c>
      <c r="AC7" s="90">
        <v>0.9375</v>
      </c>
      <c r="AD7" s="83">
        <f t="shared" si="16"/>
        <v>3</v>
      </c>
      <c r="AE7" s="86">
        <f t="shared" si="6"/>
        <v>120000</v>
      </c>
      <c r="AG7" s="140">
        <f t="shared" si="17"/>
        <v>1370168.6217008799</v>
      </c>
      <c r="AH7" s="98"/>
      <c r="AI7" s="103">
        <f>주류장부!K7</f>
        <v>2100000</v>
      </c>
      <c r="AJ7" s="103">
        <f t="shared" si="18"/>
        <v>1370168.6217008799</v>
      </c>
      <c r="AK7" s="145">
        <f t="shared" si="7"/>
        <v>0.65246124842899045</v>
      </c>
      <c r="AL7" s="103">
        <f t="shared" si="8"/>
        <v>210000</v>
      </c>
      <c r="AM7" s="103">
        <f t="shared" si="9"/>
        <v>52500</v>
      </c>
      <c r="AN7" s="103">
        <f t="shared" si="10"/>
        <v>483000</v>
      </c>
      <c r="AO7" s="103">
        <f t="shared" si="19"/>
        <v>-15669.274162128568</v>
      </c>
    </row>
    <row r="8" spans="1:41" x14ac:dyDescent="0.3">
      <c r="A8" s="1">
        <v>44901</v>
      </c>
      <c r="B8" s="101">
        <v>1</v>
      </c>
      <c r="C8" s="114">
        <f t="shared" si="11"/>
        <v>129032.25806451614</v>
      </c>
      <c r="D8" s="111">
        <v>1</v>
      </c>
      <c r="E8" s="114">
        <f>IF(SUM(D$3:$D8)&gt;22,0,D8*(E$1/22))</f>
        <v>263636.36363636365</v>
      </c>
      <c r="F8" s="111">
        <v>1</v>
      </c>
      <c r="G8" s="114">
        <f>IF(SUM($F$3:F8)&gt;20,0,F8*(G$1/20))</f>
        <v>240000</v>
      </c>
      <c r="H8" s="128">
        <v>0.83333333333333337</v>
      </c>
      <c r="I8" s="105">
        <v>0</v>
      </c>
      <c r="J8" s="83">
        <f t="shared" si="0"/>
        <v>3.9999999999999991</v>
      </c>
      <c r="K8" s="106">
        <f t="shared" si="1"/>
        <v>219999.99999999994</v>
      </c>
      <c r="L8" s="7">
        <v>0.83333333333333337</v>
      </c>
      <c r="M8" s="4">
        <v>0</v>
      </c>
      <c r="N8" s="83">
        <f t="shared" si="12"/>
        <v>3.9999999999999991</v>
      </c>
      <c r="O8" s="86">
        <f t="shared" si="2"/>
        <v>179999.99999999997</v>
      </c>
      <c r="P8" s="7">
        <v>0.85416666666666663</v>
      </c>
      <c r="Q8" s="4">
        <v>0</v>
      </c>
      <c r="R8" s="83">
        <f t="shared" si="13"/>
        <v>3.5000000000000009</v>
      </c>
      <c r="S8" s="86">
        <f t="shared" si="3"/>
        <v>122500.00000000003</v>
      </c>
      <c r="T8" s="7">
        <v>0.89583333333333337</v>
      </c>
      <c r="U8" s="4">
        <v>2.0833333333333332E-2</v>
      </c>
      <c r="V8" s="83">
        <f t="shared" si="14"/>
        <v>3</v>
      </c>
      <c r="W8" s="86">
        <f t="shared" si="4"/>
        <v>150000</v>
      </c>
      <c r="X8" s="7"/>
      <c r="Y8" s="4"/>
      <c r="Z8" s="83" t="str">
        <f t="shared" si="15"/>
        <v>休</v>
      </c>
      <c r="AA8" s="86" t="str">
        <f t="shared" si="5"/>
        <v/>
      </c>
      <c r="AB8" s="89">
        <v>0.8125</v>
      </c>
      <c r="AC8" s="90">
        <v>0.9375</v>
      </c>
      <c r="AD8" s="83">
        <f t="shared" si="16"/>
        <v>3</v>
      </c>
      <c r="AE8" s="86">
        <f t="shared" si="6"/>
        <v>120000</v>
      </c>
      <c r="AG8" s="140">
        <f t="shared" si="17"/>
        <v>1425168.6217008797</v>
      </c>
      <c r="AH8" s="98"/>
      <c r="AI8" s="103">
        <f>주류장부!K8</f>
        <v>1010000</v>
      </c>
      <c r="AJ8" s="103">
        <f t="shared" si="18"/>
        <v>1425168.6217008797</v>
      </c>
      <c r="AK8" s="145">
        <f t="shared" si="7"/>
        <v>1.4110580412879996</v>
      </c>
      <c r="AL8" s="103">
        <f t="shared" si="8"/>
        <v>101000</v>
      </c>
      <c r="AM8" s="103">
        <f t="shared" si="9"/>
        <v>25250</v>
      </c>
      <c r="AN8" s="103">
        <f t="shared" si="10"/>
        <v>232300</v>
      </c>
      <c r="AO8" s="103">
        <f t="shared" si="19"/>
        <v>-773720.03275892092</v>
      </c>
    </row>
    <row r="9" spans="1:41" x14ac:dyDescent="0.3">
      <c r="A9" s="1">
        <v>44902</v>
      </c>
      <c r="B9" s="101">
        <v>1</v>
      </c>
      <c r="C9" s="114">
        <f t="shared" si="11"/>
        <v>129032.25806451614</v>
      </c>
      <c r="D9" s="111">
        <v>1</v>
      </c>
      <c r="E9" s="114">
        <f>IF(SUM(D$3:$D9)&gt;22,0,D9*(E$1/22))</f>
        <v>263636.36363636365</v>
      </c>
      <c r="F9" s="111">
        <v>1</v>
      </c>
      <c r="G9" s="114">
        <f>IF(SUM($F$3:F9)&gt;20,0,F9*(G$1/20))</f>
        <v>240000</v>
      </c>
      <c r="H9" s="128"/>
      <c r="I9" s="105"/>
      <c r="J9" s="83" t="str">
        <f t="shared" si="0"/>
        <v>休</v>
      </c>
      <c r="K9" s="106" t="str">
        <f t="shared" si="1"/>
        <v/>
      </c>
      <c r="L9" s="7"/>
      <c r="M9" s="4"/>
      <c r="N9" s="83" t="str">
        <f t="shared" si="12"/>
        <v>休</v>
      </c>
      <c r="O9" s="86" t="str">
        <f t="shared" si="2"/>
        <v/>
      </c>
      <c r="P9" s="7">
        <v>0.875</v>
      </c>
      <c r="Q9" s="4">
        <v>1.0208333333333333</v>
      </c>
      <c r="R9" s="83">
        <f t="shared" si="13"/>
        <v>3.4999999999999982</v>
      </c>
      <c r="S9" s="86">
        <f t="shared" si="3"/>
        <v>122499.99999999994</v>
      </c>
      <c r="T9" s="7"/>
      <c r="U9" s="4"/>
      <c r="V9" s="83" t="str">
        <f t="shared" si="14"/>
        <v>休</v>
      </c>
      <c r="W9" s="86" t="str">
        <f t="shared" si="4"/>
        <v/>
      </c>
      <c r="X9" s="7"/>
      <c r="Y9" s="4"/>
      <c r="Z9" s="83" t="str">
        <f t="shared" si="15"/>
        <v>休</v>
      </c>
      <c r="AA9" s="86" t="str">
        <f t="shared" si="5"/>
        <v/>
      </c>
      <c r="AB9" s="89">
        <v>0.8125</v>
      </c>
      <c r="AC9" s="90">
        <v>0.9375</v>
      </c>
      <c r="AD9" s="83">
        <f t="shared" si="16"/>
        <v>3</v>
      </c>
      <c r="AE9" s="86">
        <f t="shared" si="6"/>
        <v>120000</v>
      </c>
      <c r="AG9" s="140">
        <f t="shared" si="17"/>
        <v>875168.62170087965</v>
      </c>
      <c r="AH9" s="98"/>
      <c r="AI9" s="103">
        <f>주류장부!K9</f>
        <v>500000</v>
      </c>
      <c r="AJ9" s="103">
        <f t="shared" si="18"/>
        <v>875168.62170087965</v>
      </c>
      <c r="AK9" s="145">
        <f t="shared" si="7"/>
        <v>1.7503372434017592</v>
      </c>
      <c r="AL9" s="103">
        <f t="shared" si="8"/>
        <v>50000</v>
      </c>
      <c r="AM9" s="103">
        <f t="shared" si="9"/>
        <v>12500</v>
      </c>
      <c r="AN9" s="103">
        <f t="shared" si="10"/>
        <v>115000</v>
      </c>
      <c r="AO9" s="103">
        <f t="shared" si="19"/>
        <v>-552670.3720381232</v>
      </c>
    </row>
    <row r="10" spans="1:41" x14ac:dyDescent="0.3">
      <c r="A10" s="1">
        <v>44903</v>
      </c>
      <c r="B10" s="101">
        <v>1</v>
      </c>
      <c r="C10" s="114">
        <f t="shared" si="11"/>
        <v>129032.25806451614</v>
      </c>
      <c r="D10" s="111">
        <v>1</v>
      </c>
      <c r="E10" s="114">
        <f>IF(SUM(D$3:$D10)&gt;22,0,D10*(E$1/22))</f>
        <v>263636.36363636365</v>
      </c>
      <c r="F10" s="111">
        <v>1</v>
      </c>
      <c r="G10" s="114">
        <f>IF(SUM($F$3:F10)&gt;20,0,F10*(G$1/20))</f>
        <v>240000</v>
      </c>
      <c r="H10" s="128">
        <v>0.85416666666666663</v>
      </c>
      <c r="I10" s="105">
        <v>0</v>
      </c>
      <c r="J10" s="83">
        <f t="shared" si="0"/>
        <v>3.5000000000000009</v>
      </c>
      <c r="K10" s="106">
        <f t="shared" si="1"/>
        <v>192500.00000000006</v>
      </c>
      <c r="L10" s="7">
        <v>0.83333333333333337</v>
      </c>
      <c r="M10" s="4">
        <v>0</v>
      </c>
      <c r="N10" s="83">
        <f t="shared" si="12"/>
        <v>3.9999999999999991</v>
      </c>
      <c r="O10" s="86">
        <f t="shared" si="2"/>
        <v>179999.99999999997</v>
      </c>
      <c r="P10" s="7">
        <v>0.89583333333333337</v>
      </c>
      <c r="Q10" s="4">
        <v>6.25E-2</v>
      </c>
      <c r="R10" s="83">
        <f t="shared" si="13"/>
        <v>3.9999999999999991</v>
      </c>
      <c r="S10" s="86">
        <f t="shared" si="3"/>
        <v>139999.99999999997</v>
      </c>
      <c r="T10" s="7"/>
      <c r="U10" s="4"/>
      <c r="V10" s="83" t="str">
        <f t="shared" si="14"/>
        <v>休</v>
      </c>
      <c r="W10" s="86" t="str">
        <f t="shared" si="4"/>
        <v/>
      </c>
      <c r="X10" s="7"/>
      <c r="Y10" s="4"/>
      <c r="Z10" s="83" t="str">
        <f t="shared" si="15"/>
        <v>休</v>
      </c>
      <c r="AA10" s="86" t="str">
        <f t="shared" si="5"/>
        <v/>
      </c>
      <c r="AB10" s="89">
        <v>0.8125</v>
      </c>
      <c r="AC10" s="90">
        <v>0.9375</v>
      </c>
      <c r="AD10" s="83">
        <f t="shared" si="16"/>
        <v>3</v>
      </c>
      <c r="AE10" s="86">
        <f t="shared" si="6"/>
        <v>120000</v>
      </c>
      <c r="AG10" s="140">
        <f t="shared" si="17"/>
        <v>1265168.6217008799</v>
      </c>
      <c r="AH10" s="98"/>
      <c r="AI10" s="103">
        <f>주류장부!K10</f>
        <v>2030000</v>
      </c>
      <c r="AJ10" s="103">
        <f t="shared" si="18"/>
        <v>1265168.6217008799</v>
      </c>
      <c r="AK10" s="145">
        <f t="shared" si="7"/>
        <v>0.6232357742368867</v>
      </c>
      <c r="AL10" s="103">
        <f t="shared" si="8"/>
        <v>203000</v>
      </c>
      <c r="AM10" s="103">
        <f t="shared" si="9"/>
        <v>50750</v>
      </c>
      <c r="AN10" s="103">
        <f t="shared" si="10"/>
        <v>466900</v>
      </c>
      <c r="AO10" s="103">
        <f t="shared" si="19"/>
        <v>44180.755063345889</v>
      </c>
    </row>
    <row r="11" spans="1:41" x14ac:dyDescent="0.3">
      <c r="A11" s="1">
        <v>44904</v>
      </c>
      <c r="B11" s="101">
        <v>1</v>
      </c>
      <c r="C11" s="114">
        <f t="shared" si="11"/>
        <v>129032.25806451614</v>
      </c>
      <c r="D11" s="111">
        <v>1</v>
      </c>
      <c r="E11" s="114">
        <f>IF(SUM(D$3:$D11)&gt;22,0,D11*(E$1/22))</f>
        <v>263636.36363636365</v>
      </c>
      <c r="F11" s="111">
        <v>1</v>
      </c>
      <c r="G11" s="114">
        <f>IF(SUM($F$3:F11)&gt;20,0,F11*(G$1/20))</f>
        <v>240000</v>
      </c>
      <c r="H11" s="128">
        <v>0.85416666666666663</v>
      </c>
      <c r="I11" s="105">
        <v>2.0833333333333332E-2</v>
      </c>
      <c r="J11" s="83">
        <f t="shared" si="0"/>
        <v>4.0000000000000018</v>
      </c>
      <c r="K11" s="106">
        <f t="shared" si="1"/>
        <v>220000.00000000009</v>
      </c>
      <c r="L11" s="7">
        <v>0.83333333333333337</v>
      </c>
      <c r="M11" s="4">
        <v>2.0833333333333332E-2</v>
      </c>
      <c r="N11" s="83">
        <f t="shared" si="12"/>
        <v>4.5</v>
      </c>
      <c r="O11" s="86">
        <f t="shared" si="2"/>
        <v>202500</v>
      </c>
      <c r="P11" s="7"/>
      <c r="Q11" s="4"/>
      <c r="R11" s="83" t="str">
        <f t="shared" si="13"/>
        <v>休</v>
      </c>
      <c r="S11" s="86" t="str">
        <f t="shared" si="3"/>
        <v/>
      </c>
      <c r="T11" s="7"/>
      <c r="U11" s="4"/>
      <c r="V11" s="83" t="str">
        <f t="shared" si="14"/>
        <v>休</v>
      </c>
      <c r="W11" s="86" t="str">
        <f t="shared" si="4"/>
        <v/>
      </c>
      <c r="X11" s="7">
        <v>0.85416666666666663</v>
      </c>
      <c r="Y11" s="4">
        <v>4.1666666666666664E-2</v>
      </c>
      <c r="Z11" s="83">
        <f t="shared" si="15"/>
        <v>4.5</v>
      </c>
      <c r="AA11" s="86">
        <f t="shared" si="5"/>
        <v>225000</v>
      </c>
      <c r="AB11" s="89">
        <v>0.8125</v>
      </c>
      <c r="AC11" s="90">
        <v>0.9375</v>
      </c>
      <c r="AD11" s="83">
        <f t="shared" si="16"/>
        <v>3</v>
      </c>
      <c r="AE11" s="86">
        <f t="shared" si="6"/>
        <v>120000</v>
      </c>
      <c r="AG11" s="140">
        <f t="shared" si="17"/>
        <v>1400168.6217008799</v>
      </c>
      <c r="AH11" s="98"/>
      <c r="AI11" s="103">
        <f>주류장부!K11</f>
        <v>3580000</v>
      </c>
      <c r="AJ11" s="103">
        <f t="shared" si="18"/>
        <v>1400168.6217008799</v>
      </c>
      <c r="AK11" s="145">
        <f t="shared" si="7"/>
        <v>0.39110855354773183</v>
      </c>
      <c r="AL11" s="103">
        <f t="shared" si="8"/>
        <v>358000</v>
      </c>
      <c r="AM11" s="103">
        <f t="shared" si="9"/>
        <v>89500</v>
      </c>
      <c r="AN11" s="103">
        <f t="shared" si="10"/>
        <v>823400</v>
      </c>
      <c r="AO11" s="103">
        <f t="shared" si="19"/>
        <v>908930.98719056649</v>
      </c>
    </row>
    <row r="12" spans="1:41" x14ac:dyDescent="0.3">
      <c r="A12" s="2">
        <v>44905</v>
      </c>
      <c r="B12" s="102">
        <v>1</v>
      </c>
      <c r="C12" s="115">
        <f t="shared" si="11"/>
        <v>129032.25806451614</v>
      </c>
      <c r="D12" s="112"/>
      <c r="E12" s="115">
        <f>IF(SUM(D$3:$D12)&gt;22,0,D12*(E$1/22))</f>
        <v>0</v>
      </c>
      <c r="F12" s="112"/>
      <c r="G12" s="115">
        <f>IF(SUM($F$3:F12)&gt;20,0,F12*(G$1/20))</f>
        <v>0</v>
      </c>
      <c r="H12" s="129"/>
      <c r="I12" s="107"/>
      <c r="J12" s="84" t="str">
        <f t="shared" si="0"/>
        <v>休</v>
      </c>
      <c r="K12" s="108" t="str">
        <f t="shared" si="1"/>
        <v/>
      </c>
      <c r="L12" s="8"/>
      <c r="M12" s="5"/>
      <c r="N12" s="84" t="str">
        <f t="shared" si="12"/>
        <v>休</v>
      </c>
      <c r="O12" s="87" t="str">
        <f t="shared" si="2"/>
        <v/>
      </c>
      <c r="P12" s="8"/>
      <c r="Q12" s="5"/>
      <c r="R12" s="84" t="str">
        <f t="shared" si="13"/>
        <v>休</v>
      </c>
      <c r="S12" s="87" t="str">
        <f t="shared" si="3"/>
        <v/>
      </c>
      <c r="T12" s="8"/>
      <c r="U12" s="5"/>
      <c r="V12" s="84" t="str">
        <f t="shared" si="14"/>
        <v>休</v>
      </c>
      <c r="W12" s="87" t="str">
        <f t="shared" si="4"/>
        <v/>
      </c>
      <c r="X12" s="8"/>
      <c r="Y12" s="5"/>
      <c r="Z12" s="84" t="str">
        <f t="shared" si="15"/>
        <v>休</v>
      </c>
      <c r="AA12" s="87" t="str">
        <f t="shared" si="5"/>
        <v/>
      </c>
      <c r="AB12" s="8"/>
      <c r="AC12" s="5"/>
      <c r="AD12" s="84" t="str">
        <f t="shared" si="16"/>
        <v>休</v>
      </c>
      <c r="AE12" s="87" t="str">
        <f t="shared" si="6"/>
        <v/>
      </c>
      <c r="AG12" s="141">
        <f t="shared" si="17"/>
        <v>129032.25806451614</v>
      </c>
      <c r="AH12" s="98"/>
      <c r="AI12" s="103">
        <f>주류장부!K12</f>
        <v>0</v>
      </c>
      <c r="AJ12" s="103">
        <f t="shared" si="18"/>
        <v>129032.25806451614</v>
      </c>
      <c r="AK12" s="145" t="str">
        <f t="shared" si="7"/>
        <v/>
      </c>
      <c r="AL12" s="103">
        <f t="shared" si="8"/>
        <v>0</v>
      </c>
      <c r="AM12" s="103">
        <f t="shared" si="9"/>
        <v>0</v>
      </c>
      <c r="AN12" s="103">
        <f t="shared" si="10"/>
        <v>0</v>
      </c>
      <c r="AO12" s="103">
        <f t="shared" si="19"/>
        <v>-129032.25806451614</v>
      </c>
    </row>
    <row r="13" spans="1:41" x14ac:dyDescent="0.3">
      <c r="A13" s="2">
        <v>44906</v>
      </c>
      <c r="B13" s="102">
        <v>1</v>
      </c>
      <c r="C13" s="115">
        <f t="shared" si="11"/>
        <v>129032.25806451614</v>
      </c>
      <c r="D13" s="112"/>
      <c r="E13" s="115">
        <f>IF(SUM(D$3:$D13)&gt;22,0,D13*(E$1/22))</f>
        <v>0</v>
      </c>
      <c r="F13" s="112"/>
      <c r="G13" s="115">
        <f>IF(SUM($F$3:F13)&gt;20,0,F13*(G$1/20))</f>
        <v>0</v>
      </c>
      <c r="H13" s="129"/>
      <c r="I13" s="107"/>
      <c r="J13" s="84" t="str">
        <f t="shared" si="0"/>
        <v>休</v>
      </c>
      <c r="K13" s="108" t="str">
        <f t="shared" si="1"/>
        <v/>
      </c>
      <c r="L13" s="8"/>
      <c r="M13" s="5"/>
      <c r="N13" s="84" t="str">
        <f t="shared" si="12"/>
        <v>休</v>
      </c>
      <c r="O13" s="87" t="str">
        <f t="shared" si="2"/>
        <v/>
      </c>
      <c r="P13" s="8"/>
      <c r="Q13" s="5"/>
      <c r="R13" s="84" t="str">
        <f t="shared" si="13"/>
        <v>休</v>
      </c>
      <c r="S13" s="87" t="str">
        <f t="shared" si="3"/>
        <v/>
      </c>
      <c r="T13" s="8"/>
      <c r="U13" s="5"/>
      <c r="V13" s="84" t="str">
        <f t="shared" si="14"/>
        <v>休</v>
      </c>
      <c r="W13" s="87" t="str">
        <f t="shared" si="4"/>
        <v/>
      </c>
      <c r="X13" s="8"/>
      <c r="Y13" s="5"/>
      <c r="Z13" s="84" t="str">
        <f t="shared" si="15"/>
        <v>休</v>
      </c>
      <c r="AA13" s="87" t="str">
        <f t="shared" si="5"/>
        <v/>
      </c>
      <c r="AB13" s="8"/>
      <c r="AC13" s="5"/>
      <c r="AD13" s="84" t="str">
        <f t="shared" si="16"/>
        <v>休</v>
      </c>
      <c r="AE13" s="87" t="str">
        <f t="shared" si="6"/>
        <v/>
      </c>
      <c r="AG13" s="141">
        <f t="shared" si="17"/>
        <v>129032.25806451614</v>
      </c>
      <c r="AH13" s="98"/>
      <c r="AI13" s="103">
        <f>주류장부!K13</f>
        <v>0</v>
      </c>
      <c r="AJ13" s="103">
        <f t="shared" si="18"/>
        <v>129032.25806451614</v>
      </c>
      <c r="AK13" s="145" t="str">
        <f t="shared" si="7"/>
        <v/>
      </c>
      <c r="AL13" s="103">
        <f t="shared" si="8"/>
        <v>0</v>
      </c>
      <c r="AM13" s="103">
        <f t="shared" si="9"/>
        <v>0</v>
      </c>
      <c r="AN13" s="103">
        <f t="shared" si="10"/>
        <v>0</v>
      </c>
      <c r="AO13" s="103">
        <f t="shared" si="19"/>
        <v>-129032.25806451614</v>
      </c>
    </row>
    <row r="14" spans="1:41" x14ac:dyDescent="0.3">
      <c r="A14" s="1">
        <v>44907</v>
      </c>
      <c r="B14" s="101">
        <v>1</v>
      </c>
      <c r="C14" s="114">
        <f t="shared" si="11"/>
        <v>129032.25806451614</v>
      </c>
      <c r="D14" s="111">
        <v>1</v>
      </c>
      <c r="E14" s="114">
        <f>IF(SUM(D$3:$D14)&gt;22,0,D14*(E$1/22))</f>
        <v>263636.36363636365</v>
      </c>
      <c r="F14" s="111">
        <v>1</v>
      </c>
      <c r="G14" s="114">
        <f>IF(SUM($F$3:F14)&gt;20,0,F14*(G$1/20))</f>
        <v>240000</v>
      </c>
      <c r="H14" s="128">
        <v>0.85416666666666663</v>
      </c>
      <c r="I14" s="105">
        <v>0.125</v>
      </c>
      <c r="J14" s="83">
        <f t="shared" si="0"/>
        <v>6.5000000000000009</v>
      </c>
      <c r="K14" s="106">
        <f t="shared" si="1"/>
        <v>357500.00000000006</v>
      </c>
      <c r="L14" s="7">
        <v>0.83333333333333337</v>
      </c>
      <c r="M14" s="4">
        <v>0</v>
      </c>
      <c r="N14" s="83">
        <f t="shared" si="12"/>
        <v>3.9999999999999991</v>
      </c>
      <c r="O14" s="86">
        <f t="shared" si="2"/>
        <v>179999.99999999997</v>
      </c>
      <c r="P14" s="7"/>
      <c r="Q14" s="4"/>
      <c r="R14" s="83" t="str">
        <f t="shared" si="13"/>
        <v>休</v>
      </c>
      <c r="S14" s="86" t="str">
        <f t="shared" si="3"/>
        <v/>
      </c>
      <c r="T14" s="7"/>
      <c r="U14" s="4"/>
      <c r="V14" s="83" t="str">
        <f t="shared" si="14"/>
        <v>休</v>
      </c>
      <c r="W14" s="86" t="str">
        <f t="shared" si="4"/>
        <v/>
      </c>
      <c r="X14" s="7"/>
      <c r="Y14" s="4"/>
      <c r="Z14" s="83" t="str">
        <f t="shared" si="15"/>
        <v>休</v>
      </c>
      <c r="AA14" s="86" t="str">
        <f t="shared" si="5"/>
        <v/>
      </c>
      <c r="AB14" s="89">
        <v>0.8125</v>
      </c>
      <c r="AC14" s="90">
        <v>0.9375</v>
      </c>
      <c r="AD14" s="83">
        <f t="shared" si="16"/>
        <v>3</v>
      </c>
      <c r="AE14" s="86">
        <f t="shared" si="6"/>
        <v>120000</v>
      </c>
      <c r="AG14" s="140">
        <f t="shared" si="17"/>
        <v>1290168.6217008799</v>
      </c>
      <c r="AH14" s="98"/>
      <c r="AI14" s="103">
        <f>주류장부!K14</f>
        <v>2180000</v>
      </c>
      <c r="AJ14" s="103">
        <f t="shared" si="18"/>
        <v>1290168.6217008799</v>
      </c>
      <c r="AK14" s="145">
        <f t="shared" si="7"/>
        <v>0.59182046867012839</v>
      </c>
      <c r="AL14" s="103">
        <f t="shared" si="8"/>
        <v>218000</v>
      </c>
      <c r="AM14" s="103">
        <f t="shared" si="9"/>
        <v>54500</v>
      </c>
      <c r="AN14" s="103">
        <f t="shared" si="10"/>
        <v>501400</v>
      </c>
      <c r="AO14" s="103">
        <f t="shared" si="19"/>
        <v>115930.78647865145</v>
      </c>
    </row>
    <row r="15" spans="1:41" x14ac:dyDescent="0.3">
      <c r="A15" s="1">
        <v>44908</v>
      </c>
      <c r="B15" s="101">
        <v>1</v>
      </c>
      <c r="C15" s="114">
        <f t="shared" si="11"/>
        <v>129032.25806451614</v>
      </c>
      <c r="D15" s="111">
        <v>1</v>
      </c>
      <c r="E15" s="114">
        <f>IF(SUM(D$3:$D15)&gt;22,0,D15*(E$1/22))</f>
        <v>263636.36363636365</v>
      </c>
      <c r="F15" s="111"/>
      <c r="G15" s="114">
        <f>IF(SUM($F$3:F15)&gt;20,0,F15*(G$1/20))</f>
        <v>0</v>
      </c>
      <c r="H15" s="128">
        <v>0.85416666666666663</v>
      </c>
      <c r="I15" s="105">
        <v>8.3333333333333329E-2</v>
      </c>
      <c r="J15" s="83">
        <f t="shared" si="0"/>
        <v>5.5000000000000018</v>
      </c>
      <c r="K15" s="106">
        <f t="shared" si="1"/>
        <v>302500.00000000012</v>
      </c>
      <c r="L15" s="7">
        <v>0.83333333333333337</v>
      </c>
      <c r="M15" s="4">
        <v>0</v>
      </c>
      <c r="N15" s="83">
        <f t="shared" si="12"/>
        <v>3.9999999999999991</v>
      </c>
      <c r="O15" s="86">
        <f t="shared" si="2"/>
        <v>179999.99999999997</v>
      </c>
      <c r="P15" s="7">
        <v>0.875</v>
      </c>
      <c r="Q15" s="4">
        <v>1.0208333333333333</v>
      </c>
      <c r="R15" s="83">
        <f t="shared" si="13"/>
        <v>3.4999999999999982</v>
      </c>
      <c r="S15" s="86">
        <f t="shared" si="3"/>
        <v>122499.99999999994</v>
      </c>
      <c r="T15" s="7"/>
      <c r="U15" s="4"/>
      <c r="V15" s="83" t="str">
        <f t="shared" si="14"/>
        <v>休</v>
      </c>
      <c r="W15" s="86" t="str">
        <f t="shared" si="4"/>
        <v/>
      </c>
      <c r="X15" s="7"/>
      <c r="Y15" s="4"/>
      <c r="Z15" s="83" t="str">
        <f t="shared" si="15"/>
        <v>休</v>
      </c>
      <c r="AA15" s="86" t="str">
        <f t="shared" si="5"/>
        <v/>
      </c>
      <c r="AB15" s="89">
        <v>0.8125</v>
      </c>
      <c r="AC15" s="90">
        <v>0.9375</v>
      </c>
      <c r="AD15" s="83">
        <f t="shared" si="16"/>
        <v>3</v>
      </c>
      <c r="AE15" s="86">
        <f t="shared" si="6"/>
        <v>120000</v>
      </c>
      <c r="AG15" s="140">
        <f t="shared" si="17"/>
        <v>1117668.6217008799</v>
      </c>
      <c r="AH15" s="98"/>
      <c r="AI15" s="103">
        <f>주류장부!K15</f>
        <v>1420000</v>
      </c>
      <c r="AJ15" s="103">
        <f t="shared" si="18"/>
        <v>1117668.6217008799</v>
      </c>
      <c r="AK15" s="145">
        <f t="shared" si="7"/>
        <v>0.78709057866259147</v>
      </c>
      <c r="AL15" s="103">
        <f t="shared" si="8"/>
        <v>142000</v>
      </c>
      <c r="AM15" s="103">
        <f t="shared" si="9"/>
        <v>35500</v>
      </c>
      <c r="AN15" s="103">
        <f t="shared" si="10"/>
        <v>326600</v>
      </c>
      <c r="AO15" s="103">
        <f t="shared" si="19"/>
        <v>-201769.40879145847</v>
      </c>
    </row>
    <row r="16" spans="1:41" x14ac:dyDescent="0.3">
      <c r="A16" s="1">
        <v>44909</v>
      </c>
      <c r="B16" s="101">
        <v>1</v>
      </c>
      <c r="C16" s="114">
        <f t="shared" si="11"/>
        <v>129032.25806451614</v>
      </c>
      <c r="D16" s="111">
        <v>1</v>
      </c>
      <c r="E16" s="114">
        <f>IF(SUM(D$3:$D16)&gt;22,0,D16*(E$1/22))</f>
        <v>263636.36363636365</v>
      </c>
      <c r="F16" s="111"/>
      <c r="G16" s="114">
        <f>IF(SUM($F$3:F16)&gt;20,0,F16*(G$1/20))</f>
        <v>0</v>
      </c>
      <c r="H16" s="128">
        <v>0.83333333333333337</v>
      </c>
      <c r="I16" s="105">
        <v>4.1666666666666664E-2</v>
      </c>
      <c r="J16" s="83">
        <f t="shared" si="0"/>
        <v>4.9999999999999982</v>
      </c>
      <c r="K16" s="106">
        <f t="shared" si="1"/>
        <v>274999.99999999988</v>
      </c>
      <c r="L16" s="7"/>
      <c r="M16" s="4"/>
      <c r="N16" s="83" t="str">
        <f t="shared" si="12"/>
        <v>休</v>
      </c>
      <c r="O16" s="86" t="str">
        <f t="shared" si="2"/>
        <v/>
      </c>
      <c r="P16" s="7">
        <v>0.875</v>
      </c>
      <c r="Q16" s="4">
        <v>6.25E-2</v>
      </c>
      <c r="R16" s="83">
        <f t="shared" si="13"/>
        <v>4.5</v>
      </c>
      <c r="S16" s="86">
        <f t="shared" si="3"/>
        <v>157500</v>
      </c>
      <c r="T16" s="7">
        <v>0.875</v>
      </c>
      <c r="U16" s="4">
        <v>6.25E-2</v>
      </c>
      <c r="V16" s="83">
        <f t="shared" si="14"/>
        <v>4.5</v>
      </c>
      <c r="W16" s="86">
        <f t="shared" si="4"/>
        <v>225000</v>
      </c>
      <c r="X16" s="7"/>
      <c r="Y16" s="4"/>
      <c r="Z16" s="83" t="str">
        <f t="shared" si="15"/>
        <v>休</v>
      </c>
      <c r="AA16" s="86" t="str">
        <f t="shared" si="5"/>
        <v/>
      </c>
      <c r="AB16" s="89">
        <v>0.8125</v>
      </c>
      <c r="AC16" s="90">
        <v>0.9375</v>
      </c>
      <c r="AD16" s="83">
        <f t="shared" si="16"/>
        <v>3</v>
      </c>
      <c r="AE16" s="86">
        <f t="shared" si="6"/>
        <v>120000</v>
      </c>
      <c r="AG16" s="140">
        <f t="shared" si="17"/>
        <v>1170168.6217008797</v>
      </c>
      <c r="AH16" s="98"/>
      <c r="AI16" s="103">
        <f>주류장부!K16</f>
        <v>2120000</v>
      </c>
      <c r="AJ16" s="103">
        <f t="shared" si="18"/>
        <v>1170168.6217008797</v>
      </c>
      <c r="AK16" s="145">
        <f t="shared" si="7"/>
        <v>0.55196633099098091</v>
      </c>
      <c r="AL16" s="103">
        <f t="shared" si="8"/>
        <v>212000</v>
      </c>
      <c r="AM16" s="103">
        <f t="shared" si="9"/>
        <v>53000</v>
      </c>
      <c r="AN16" s="103">
        <f t="shared" si="10"/>
        <v>487600</v>
      </c>
      <c r="AO16" s="103">
        <f t="shared" si="19"/>
        <v>197230.82633278938</v>
      </c>
    </row>
    <row r="17" spans="1:41" x14ac:dyDescent="0.3">
      <c r="A17" s="1">
        <v>44910</v>
      </c>
      <c r="B17" s="101">
        <v>1</v>
      </c>
      <c r="C17" s="114">
        <f t="shared" si="11"/>
        <v>129032.25806451614</v>
      </c>
      <c r="D17" s="111">
        <v>1</v>
      </c>
      <c r="E17" s="114">
        <f>IF(SUM(D$3:$D17)&gt;22,0,D17*(E$1/22))</f>
        <v>263636.36363636365</v>
      </c>
      <c r="F17" s="111">
        <v>1</v>
      </c>
      <c r="G17" s="114">
        <f>IF(SUM($F$3:F17)&gt;20,0,F17*(G$1/20))</f>
        <v>240000</v>
      </c>
      <c r="H17" s="128">
        <v>0.90625</v>
      </c>
      <c r="I17" s="105">
        <v>7.2916666666666671E-2</v>
      </c>
      <c r="J17" s="83">
        <f t="shared" si="0"/>
        <v>3.9999999999999991</v>
      </c>
      <c r="K17" s="106">
        <f t="shared" si="1"/>
        <v>219999.99999999994</v>
      </c>
      <c r="L17" s="7">
        <v>0.83333333333333337</v>
      </c>
      <c r="M17" s="4">
        <v>8.3333333333333329E-2</v>
      </c>
      <c r="N17" s="83">
        <f t="shared" si="12"/>
        <v>6</v>
      </c>
      <c r="O17" s="86">
        <f t="shared" si="2"/>
        <v>270000</v>
      </c>
      <c r="P17" s="7"/>
      <c r="Q17" s="4"/>
      <c r="R17" s="83" t="str">
        <f t="shared" si="13"/>
        <v>休</v>
      </c>
      <c r="S17" s="86" t="str">
        <f t="shared" si="3"/>
        <v/>
      </c>
      <c r="T17" s="7"/>
      <c r="U17" s="4"/>
      <c r="V17" s="83" t="str">
        <f t="shared" si="14"/>
        <v>休</v>
      </c>
      <c r="W17" s="86" t="str">
        <f t="shared" si="4"/>
        <v/>
      </c>
      <c r="X17" s="7"/>
      <c r="Y17" s="4"/>
      <c r="Z17" s="83" t="str">
        <f t="shared" si="15"/>
        <v>休</v>
      </c>
      <c r="AA17" s="86" t="str">
        <f t="shared" si="5"/>
        <v/>
      </c>
      <c r="AB17" s="89">
        <v>0.8125</v>
      </c>
      <c r="AC17" s="90">
        <v>0.9375</v>
      </c>
      <c r="AD17" s="83">
        <f t="shared" si="16"/>
        <v>3</v>
      </c>
      <c r="AE17" s="86">
        <f t="shared" si="6"/>
        <v>120000</v>
      </c>
      <c r="AG17" s="140">
        <f t="shared" si="17"/>
        <v>1242668.6217008797</v>
      </c>
      <c r="AH17" s="98"/>
      <c r="AI17" s="103">
        <f>주류장부!K17</f>
        <v>2050000</v>
      </c>
      <c r="AJ17" s="103">
        <f t="shared" si="18"/>
        <v>1242668.6217008797</v>
      </c>
      <c r="AK17" s="145">
        <f t="shared" si="7"/>
        <v>0.6061798154638437</v>
      </c>
      <c r="AL17" s="103">
        <f t="shared" si="8"/>
        <v>205000</v>
      </c>
      <c r="AM17" s="103">
        <f t="shared" si="9"/>
        <v>51250</v>
      </c>
      <c r="AN17" s="103">
        <f t="shared" si="10"/>
        <v>471500</v>
      </c>
      <c r="AO17" s="103">
        <f t="shared" si="19"/>
        <v>79580.772119304864</v>
      </c>
    </row>
    <row r="18" spans="1:41" x14ac:dyDescent="0.3">
      <c r="A18" s="1">
        <v>44911</v>
      </c>
      <c r="B18" s="101">
        <v>1</v>
      </c>
      <c r="C18" s="114">
        <f t="shared" si="11"/>
        <v>129032.25806451614</v>
      </c>
      <c r="D18" s="111">
        <v>1</v>
      </c>
      <c r="E18" s="114">
        <f>IF(SUM(D$3:$D18)&gt;22,0,D18*(E$1/22))</f>
        <v>263636.36363636365</v>
      </c>
      <c r="F18" s="111">
        <v>1</v>
      </c>
      <c r="G18" s="114">
        <f>IF(SUM($F$3:F18)&gt;20,0,F18*(G$1/20))</f>
        <v>240000</v>
      </c>
      <c r="H18" s="128">
        <v>0.85416666666666663</v>
      </c>
      <c r="I18" s="105">
        <v>6.25E-2</v>
      </c>
      <c r="J18" s="83">
        <f t="shared" si="0"/>
        <v>5.0000000000000009</v>
      </c>
      <c r="K18" s="106">
        <f t="shared" si="1"/>
        <v>275000.00000000006</v>
      </c>
      <c r="L18" s="7">
        <v>0.83333333333333337</v>
      </c>
      <c r="M18" s="4">
        <v>0</v>
      </c>
      <c r="N18" s="83">
        <f t="shared" si="12"/>
        <v>3.9999999999999991</v>
      </c>
      <c r="O18" s="86">
        <f t="shared" si="2"/>
        <v>179999.99999999997</v>
      </c>
      <c r="P18" s="7"/>
      <c r="Q18" s="4"/>
      <c r="R18" s="83" t="str">
        <f t="shared" si="13"/>
        <v>休</v>
      </c>
      <c r="S18" s="86" t="str">
        <f t="shared" si="3"/>
        <v/>
      </c>
      <c r="T18" s="7">
        <v>0.85416666666666663</v>
      </c>
      <c r="U18" s="4">
        <v>4.1666666666666664E-2</v>
      </c>
      <c r="V18" s="83">
        <f t="shared" si="14"/>
        <v>4.5</v>
      </c>
      <c r="W18" s="86">
        <f t="shared" si="4"/>
        <v>225000</v>
      </c>
      <c r="X18" s="7">
        <v>0.85416666666666663</v>
      </c>
      <c r="Y18" s="4">
        <v>2.0833333333333332E-2</v>
      </c>
      <c r="Z18" s="83">
        <f t="shared" si="15"/>
        <v>4.0000000000000018</v>
      </c>
      <c r="AA18" s="86">
        <f t="shared" si="5"/>
        <v>200000.00000000009</v>
      </c>
      <c r="AB18" s="89">
        <v>0.8125</v>
      </c>
      <c r="AC18" s="90">
        <v>0.9375</v>
      </c>
      <c r="AD18" s="83">
        <f t="shared" si="16"/>
        <v>3</v>
      </c>
      <c r="AE18" s="86">
        <f t="shared" si="6"/>
        <v>120000</v>
      </c>
      <c r="AG18" s="140">
        <f t="shared" si="17"/>
        <v>1632668.6217008799</v>
      </c>
      <c r="AH18" s="98"/>
      <c r="AI18" s="103">
        <f>주류장부!K18</f>
        <v>1510000</v>
      </c>
      <c r="AJ18" s="103">
        <f t="shared" si="18"/>
        <v>1632668.6217008799</v>
      </c>
      <c r="AK18" s="145">
        <f t="shared" si="7"/>
        <v>1.0812374978151522</v>
      </c>
      <c r="AL18" s="103">
        <f t="shared" si="8"/>
        <v>151000</v>
      </c>
      <c r="AM18" s="103">
        <f t="shared" si="9"/>
        <v>37750</v>
      </c>
      <c r="AN18" s="103">
        <f t="shared" si="10"/>
        <v>347300</v>
      </c>
      <c r="AO18" s="103">
        <f t="shared" si="19"/>
        <v>-658719.70293837786</v>
      </c>
    </row>
    <row r="19" spans="1:41" x14ac:dyDescent="0.3">
      <c r="A19" s="2">
        <v>44912</v>
      </c>
      <c r="B19" s="102">
        <v>1</v>
      </c>
      <c r="C19" s="115">
        <f t="shared" si="11"/>
        <v>129032.25806451614</v>
      </c>
      <c r="D19" s="112"/>
      <c r="E19" s="115">
        <f>IF(SUM(D$3:$D19)&gt;22,0,D19*(E$1/22))</f>
        <v>0</v>
      </c>
      <c r="F19" s="112"/>
      <c r="G19" s="115">
        <f>IF(SUM($F$3:F19)&gt;20,0,F19*(G$1/20))</f>
        <v>0</v>
      </c>
      <c r="H19" s="129"/>
      <c r="I19" s="107"/>
      <c r="J19" s="84" t="str">
        <f t="shared" si="0"/>
        <v>休</v>
      </c>
      <c r="K19" s="108" t="str">
        <f t="shared" si="1"/>
        <v/>
      </c>
      <c r="L19" s="8"/>
      <c r="M19" s="5"/>
      <c r="N19" s="84" t="str">
        <f t="shared" si="12"/>
        <v>休</v>
      </c>
      <c r="O19" s="87" t="str">
        <f t="shared" si="2"/>
        <v/>
      </c>
      <c r="P19" s="8"/>
      <c r="Q19" s="5"/>
      <c r="R19" s="84" t="str">
        <f t="shared" si="13"/>
        <v>休</v>
      </c>
      <c r="S19" s="87" t="str">
        <f t="shared" si="3"/>
        <v/>
      </c>
      <c r="T19" s="8"/>
      <c r="U19" s="5"/>
      <c r="V19" s="84" t="str">
        <f t="shared" si="14"/>
        <v>休</v>
      </c>
      <c r="W19" s="87" t="str">
        <f t="shared" si="4"/>
        <v/>
      </c>
      <c r="X19" s="8"/>
      <c r="Y19" s="5"/>
      <c r="Z19" s="84" t="str">
        <f t="shared" si="15"/>
        <v>休</v>
      </c>
      <c r="AA19" s="87" t="str">
        <f t="shared" si="5"/>
        <v/>
      </c>
      <c r="AB19" s="8"/>
      <c r="AC19" s="5"/>
      <c r="AD19" s="84" t="str">
        <f t="shared" si="16"/>
        <v>休</v>
      </c>
      <c r="AE19" s="87" t="str">
        <f t="shared" si="6"/>
        <v/>
      </c>
      <c r="AG19" s="141">
        <f t="shared" si="17"/>
        <v>129032.25806451614</v>
      </c>
      <c r="AH19" s="98"/>
      <c r="AI19" s="103">
        <f>주류장부!K19</f>
        <v>0</v>
      </c>
      <c r="AJ19" s="103">
        <f t="shared" si="18"/>
        <v>129032.25806451614</v>
      </c>
      <c r="AK19" s="145" t="str">
        <f t="shared" si="7"/>
        <v/>
      </c>
      <c r="AL19" s="103">
        <f t="shared" si="8"/>
        <v>0</v>
      </c>
      <c r="AM19" s="103">
        <f t="shared" si="9"/>
        <v>0</v>
      </c>
      <c r="AN19" s="103">
        <f t="shared" si="10"/>
        <v>0</v>
      </c>
      <c r="AO19" s="103">
        <f t="shared" si="19"/>
        <v>-129032.25806451614</v>
      </c>
    </row>
    <row r="20" spans="1:41" x14ac:dyDescent="0.3">
      <c r="A20" s="2">
        <v>44913</v>
      </c>
      <c r="B20" s="102">
        <v>1</v>
      </c>
      <c r="C20" s="115">
        <f t="shared" si="11"/>
        <v>129032.25806451614</v>
      </c>
      <c r="D20" s="112"/>
      <c r="E20" s="115">
        <f>IF(SUM(D$3:$D20)&gt;22,0,D20*(E$1/22))</f>
        <v>0</v>
      </c>
      <c r="F20" s="112"/>
      <c r="G20" s="115">
        <f>IF(SUM($F$3:F20)&gt;20,0,F20*(G$1/20))</f>
        <v>0</v>
      </c>
      <c r="H20" s="129"/>
      <c r="I20" s="107"/>
      <c r="J20" s="84" t="str">
        <f t="shared" si="0"/>
        <v>休</v>
      </c>
      <c r="K20" s="108" t="str">
        <f t="shared" si="1"/>
        <v/>
      </c>
      <c r="L20" s="8"/>
      <c r="M20" s="5"/>
      <c r="N20" s="84" t="str">
        <f t="shared" si="12"/>
        <v>休</v>
      </c>
      <c r="O20" s="87" t="str">
        <f t="shared" si="2"/>
        <v/>
      </c>
      <c r="P20" s="8"/>
      <c r="Q20" s="5"/>
      <c r="R20" s="84" t="str">
        <f t="shared" si="13"/>
        <v>休</v>
      </c>
      <c r="S20" s="87" t="str">
        <f t="shared" si="3"/>
        <v/>
      </c>
      <c r="T20" s="8"/>
      <c r="U20" s="5"/>
      <c r="V20" s="84" t="str">
        <f t="shared" si="14"/>
        <v>休</v>
      </c>
      <c r="W20" s="87" t="str">
        <f t="shared" si="4"/>
        <v/>
      </c>
      <c r="X20" s="8"/>
      <c r="Y20" s="5"/>
      <c r="Z20" s="84" t="str">
        <f t="shared" si="15"/>
        <v>休</v>
      </c>
      <c r="AA20" s="87" t="str">
        <f t="shared" si="5"/>
        <v/>
      </c>
      <c r="AB20" s="8"/>
      <c r="AC20" s="5"/>
      <c r="AD20" s="84" t="str">
        <f t="shared" si="16"/>
        <v>休</v>
      </c>
      <c r="AE20" s="87" t="str">
        <f t="shared" si="6"/>
        <v/>
      </c>
      <c r="AG20" s="141">
        <f t="shared" si="17"/>
        <v>129032.25806451614</v>
      </c>
      <c r="AH20" s="98"/>
      <c r="AI20" s="103">
        <f>주류장부!K20</f>
        <v>0</v>
      </c>
      <c r="AJ20" s="103">
        <f t="shared" si="18"/>
        <v>129032.25806451614</v>
      </c>
      <c r="AK20" s="145" t="str">
        <f t="shared" si="7"/>
        <v/>
      </c>
      <c r="AL20" s="103">
        <f t="shared" si="8"/>
        <v>0</v>
      </c>
      <c r="AM20" s="103">
        <f t="shared" si="9"/>
        <v>0</v>
      </c>
      <c r="AN20" s="103">
        <f t="shared" si="10"/>
        <v>0</v>
      </c>
      <c r="AO20" s="103">
        <f t="shared" si="19"/>
        <v>-129032.25806451614</v>
      </c>
    </row>
    <row r="21" spans="1:41" x14ac:dyDescent="0.3">
      <c r="A21" s="1">
        <v>44914</v>
      </c>
      <c r="B21" s="101">
        <v>1</v>
      </c>
      <c r="C21" s="114">
        <f t="shared" si="11"/>
        <v>129032.25806451614</v>
      </c>
      <c r="D21" s="111">
        <v>1</v>
      </c>
      <c r="E21" s="114">
        <f>IF(SUM(D$3:$D21)&gt;22,0,D21*(E$1/22))</f>
        <v>263636.36363636365</v>
      </c>
      <c r="F21" s="111"/>
      <c r="G21" s="114">
        <f>IF(SUM($F$3:F21)&gt;20,0,F21*(G$1/20))</f>
        <v>0</v>
      </c>
      <c r="H21" s="128"/>
      <c r="I21" s="105"/>
      <c r="J21" s="83" t="str">
        <f t="shared" si="0"/>
        <v>休</v>
      </c>
      <c r="K21" s="106" t="str">
        <f t="shared" si="1"/>
        <v/>
      </c>
      <c r="L21" s="7"/>
      <c r="M21" s="4"/>
      <c r="N21" s="83" t="str">
        <f t="shared" si="12"/>
        <v>休</v>
      </c>
      <c r="O21" s="86" t="str">
        <f t="shared" si="2"/>
        <v/>
      </c>
      <c r="P21" s="7"/>
      <c r="Q21" s="4"/>
      <c r="R21" s="83" t="str">
        <f t="shared" si="13"/>
        <v>休</v>
      </c>
      <c r="S21" s="86" t="str">
        <f t="shared" si="3"/>
        <v/>
      </c>
      <c r="T21" s="7"/>
      <c r="U21" s="4"/>
      <c r="V21" s="83" t="str">
        <f t="shared" si="14"/>
        <v>休</v>
      </c>
      <c r="W21" s="86" t="str">
        <f t="shared" si="4"/>
        <v/>
      </c>
      <c r="X21" s="7"/>
      <c r="Y21" s="4"/>
      <c r="Z21" s="83" t="str">
        <f t="shared" si="15"/>
        <v>休</v>
      </c>
      <c r="AA21" s="86" t="str">
        <f t="shared" si="5"/>
        <v/>
      </c>
      <c r="AB21" s="89">
        <v>0.8125</v>
      </c>
      <c r="AC21" s="90">
        <v>0.95833333333333337</v>
      </c>
      <c r="AD21" s="83">
        <f t="shared" si="16"/>
        <v>3.5000000000000009</v>
      </c>
      <c r="AE21" s="86">
        <f t="shared" si="6"/>
        <v>140000.00000000003</v>
      </c>
      <c r="AG21" s="140">
        <f t="shared" si="17"/>
        <v>532668.62170087977</v>
      </c>
      <c r="AH21" s="98"/>
      <c r="AI21" s="103">
        <f>주류장부!K21</f>
        <v>830000</v>
      </c>
      <c r="AJ21" s="103">
        <f t="shared" si="18"/>
        <v>532668.62170087977</v>
      </c>
      <c r="AK21" s="145">
        <f t="shared" si="7"/>
        <v>0.64176942373599977</v>
      </c>
      <c r="AL21" s="103">
        <f t="shared" si="8"/>
        <v>83000</v>
      </c>
      <c r="AM21" s="103">
        <f t="shared" si="9"/>
        <v>20750</v>
      </c>
      <c r="AN21" s="103">
        <f t="shared" si="10"/>
        <v>190900</v>
      </c>
      <c r="AO21" s="103">
        <f t="shared" si="19"/>
        <v>2680.7365296964999</v>
      </c>
    </row>
    <row r="22" spans="1:41" x14ac:dyDescent="0.3">
      <c r="A22" s="1">
        <v>44915</v>
      </c>
      <c r="B22" s="101">
        <v>1</v>
      </c>
      <c r="C22" s="114">
        <f t="shared" si="11"/>
        <v>129032.25806451614</v>
      </c>
      <c r="D22" s="111">
        <v>1</v>
      </c>
      <c r="E22" s="114">
        <f>IF(SUM(D$3:$D22)&gt;22,0,D22*(E$1/22))</f>
        <v>263636.36363636365</v>
      </c>
      <c r="F22" s="111">
        <v>1</v>
      </c>
      <c r="G22" s="114">
        <f>IF(SUM($F$3:F22)&gt;20,0,F22*(G$1/20))</f>
        <v>240000</v>
      </c>
      <c r="H22" s="128">
        <v>0.85416666666666663</v>
      </c>
      <c r="I22" s="105">
        <v>0</v>
      </c>
      <c r="J22" s="83">
        <f t="shared" si="0"/>
        <v>3.5000000000000009</v>
      </c>
      <c r="K22" s="106">
        <f t="shared" si="1"/>
        <v>192500.00000000006</v>
      </c>
      <c r="L22" s="7">
        <v>0.83333333333333337</v>
      </c>
      <c r="M22" s="4">
        <v>0</v>
      </c>
      <c r="N22" s="83">
        <f t="shared" si="12"/>
        <v>3.9999999999999991</v>
      </c>
      <c r="O22" s="86">
        <f t="shared" si="2"/>
        <v>179999.99999999997</v>
      </c>
      <c r="P22" s="7"/>
      <c r="Q22" s="4"/>
      <c r="R22" s="83" t="str">
        <f t="shared" si="13"/>
        <v>休</v>
      </c>
      <c r="S22" s="86" t="str">
        <f t="shared" si="3"/>
        <v/>
      </c>
      <c r="T22" s="7"/>
      <c r="U22" s="4"/>
      <c r="V22" s="83" t="str">
        <f t="shared" si="14"/>
        <v>休</v>
      </c>
      <c r="W22" s="86" t="str">
        <f t="shared" si="4"/>
        <v/>
      </c>
      <c r="X22" s="7"/>
      <c r="Y22" s="4"/>
      <c r="Z22" s="83" t="str">
        <f t="shared" si="15"/>
        <v>休</v>
      </c>
      <c r="AA22" s="86" t="str">
        <f t="shared" si="5"/>
        <v/>
      </c>
      <c r="AB22" s="89">
        <v>0.8125</v>
      </c>
      <c r="AC22" s="90">
        <v>0.9375</v>
      </c>
      <c r="AD22" s="83">
        <f t="shared" si="16"/>
        <v>3</v>
      </c>
      <c r="AE22" s="86">
        <f t="shared" si="6"/>
        <v>120000</v>
      </c>
      <c r="AG22" s="140">
        <f t="shared" si="17"/>
        <v>1125168.6217008799</v>
      </c>
      <c r="AH22" s="98"/>
      <c r="AI22" s="103">
        <f>주류장부!K22</f>
        <v>4010000</v>
      </c>
      <c r="AJ22" s="103">
        <f t="shared" si="18"/>
        <v>1125168.6217008799</v>
      </c>
      <c r="AK22" s="145">
        <f t="shared" si="7"/>
        <v>0.28059067872839899</v>
      </c>
      <c r="AL22" s="103">
        <f t="shared" si="8"/>
        <v>401000</v>
      </c>
      <c r="AM22" s="103">
        <f t="shared" si="9"/>
        <v>100250</v>
      </c>
      <c r="AN22" s="103">
        <f t="shared" si="10"/>
        <v>922300</v>
      </c>
      <c r="AO22" s="103">
        <f t="shared" si="19"/>
        <v>1461281.0977084413</v>
      </c>
    </row>
    <row r="23" spans="1:41" x14ac:dyDescent="0.3">
      <c r="A23" s="1">
        <v>44916</v>
      </c>
      <c r="B23" s="101">
        <v>1</v>
      </c>
      <c r="C23" s="114">
        <f t="shared" si="11"/>
        <v>129032.25806451614</v>
      </c>
      <c r="D23" s="111">
        <v>1</v>
      </c>
      <c r="E23" s="114">
        <f>IF(SUM(D$3:$D23)&gt;22,0,D23*(E$1/22))</f>
        <v>263636.36363636365</v>
      </c>
      <c r="F23" s="111">
        <v>1</v>
      </c>
      <c r="G23" s="114">
        <f>IF(SUM($F$3:F23)&gt;20,0,F23*(G$1/20))</f>
        <v>240000</v>
      </c>
      <c r="H23" s="128">
        <v>0.89583333333333337</v>
      </c>
      <c r="I23" s="105">
        <v>1.0208333333333333</v>
      </c>
      <c r="J23" s="83">
        <f t="shared" si="0"/>
        <v>2.9999999999999973</v>
      </c>
      <c r="K23" s="106">
        <f t="shared" si="1"/>
        <v>164999.99999999985</v>
      </c>
      <c r="L23" s="7"/>
      <c r="M23" s="4"/>
      <c r="N23" s="83" t="str">
        <f t="shared" si="12"/>
        <v>休</v>
      </c>
      <c r="O23" s="86" t="str">
        <f t="shared" si="2"/>
        <v/>
      </c>
      <c r="P23" s="7">
        <v>0.875</v>
      </c>
      <c r="Q23" s="4">
        <v>1.0208333333333333</v>
      </c>
      <c r="R23" s="83">
        <f t="shared" si="13"/>
        <v>3.4999999999999982</v>
      </c>
      <c r="S23" s="86">
        <f t="shared" si="3"/>
        <v>122499.99999999994</v>
      </c>
      <c r="T23" s="7">
        <v>0.875</v>
      </c>
      <c r="U23" s="4">
        <v>2.0833333333333332E-2</v>
      </c>
      <c r="V23" s="83">
        <f t="shared" si="14"/>
        <v>3.5000000000000009</v>
      </c>
      <c r="W23" s="86">
        <f t="shared" si="4"/>
        <v>175000.00000000006</v>
      </c>
      <c r="X23" s="7"/>
      <c r="Y23" s="4"/>
      <c r="Z23" s="83" t="str">
        <f t="shared" si="15"/>
        <v>休</v>
      </c>
      <c r="AA23" s="86" t="str">
        <f t="shared" si="5"/>
        <v/>
      </c>
      <c r="AB23" s="89">
        <v>0.8125</v>
      </c>
      <c r="AC23" s="90">
        <v>0.9375</v>
      </c>
      <c r="AD23" s="83">
        <f t="shared" si="16"/>
        <v>3</v>
      </c>
      <c r="AE23" s="86">
        <f t="shared" si="6"/>
        <v>120000</v>
      </c>
      <c r="AG23" s="140">
        <f t="shared" si="17"/>
        <v>1215168.6217008797</v>
      </c>
      <c r="AH23" s="98"/>
      <c r="AI23" s="103">
        <f>주류장부!K23</f>
        <v>1970000</v>
      </c>
      <c r="AJ23" s="103">
        <f t="shared" si="18"/>
        <v>1215168.6217008797</v>
      </c>
      <c r="AK23" s="145">
        <f t="shared" si="7"/>
        <v>0.61683686380755309</v>
      </c>
      <c r="AL23" s="103">
        <f t="shared" si="8"/>
        <v>197000</v>
      </c>
      <c r="AM23" s="103">
        <f t="shared" si="9"/>
        <v>49250</v>
      </c>
      <c r="AN23" s="103">
        <f t="shared" si="10"/>
        <v>453100</v>
      </c>
      <c r="AO23" s="103">
        <f t="shared" si="19"/>
        <v>55480.761462256545</v>
      </c>
    </row>
    <row r="24" spans="1:41" x14ac:dyDescent="0.3">
      <c r="A24" s="1">
        <v>44917</v>
      </c>
      <c r="B24" s="101">
        <v>1</v>
      </c>
      <c r="C24" s="114">
        <f t="shared" si="11"/>
        <v>129032.25806451614</v>
      </c>
      <c r="D24" s="111">
        <v>1</v>
      </c>
      <c r="E24" s="114">
        <f>IF(SUM(D$3:$D24)&gt;22,0,D24*(E$1/22))</f>
        <v>263636.36363636365</v>
      </c>
      <c r="F24" s="111">
        <v>1</v>
      </c>
      <c r="G24" s="114">
        <f>IF(SUM($F$3:F24)&gt;20,0,F24*(G$1/20))</f>
        <v>240000</v>
      </c>
      <c r="H24" s="128">
        <v>0.875</v>
      </c>
      <c r="I24" s="105">
        <v>1</v>
      </c>
      <c r="J24" s="83">
        <f t="shared" si="0"/>
        <v>3</v>
      </c>
      <c r="K24" s="106">
        <f t="shared" si="1"/>
        <v>165000</v>
      </c>
      <c r="L24" s="7"/>
      <c r="M24" s="4"/>
      <c r="N24" s="83" t="str">
        <f t="shared" si="12"/>
        <v>休</v>
      </c>
      <c r="O24" s="86" t="str">
        <f t="shared" si="2"/>
        <v/>
      </c>
      <c r="P24" s="7">
        <v>0.85416666666666663</v>
      </c>
      <c r="Q24" s="4">
        <v>4.1666666666666664E-2</v>
      </c>
      <c r="R24" s="83">
        <f t="shared" si="13"/>
        <v>4.5</v>
      </c>
      <c r="S24" s="86">
        <f t="shared" si="3"/>
        <v>157500</v>
      </c>
      <c r="T24" s="7"/>
      <c r="U24" s="4"/>
      <c r="V24" s="83" t="str">
        <f t="shared" si="14"/>
        <v>休</v>
      </c>
      <c r="W24" s="86" t="str">
        <f t="shared" si="4"/>
        <v/>
      </c>
      <c r="X24" s="7"/>
      <c r="Y24" s="4"/>
      <c r="Z24" s="83" t="str">
        <f t="shared" si="15"/>
        <v>休</v>
      </c>
      <c r="AA24" s="86" t="str">
        <f t="shared" si="5"/>
        <v/>
      </c>
      <c r="AB24" s="89">
        <v>0.8125</v>
      </c>
      <c r="AC24" s="90">
        <v>0.9375</v>
      </c>
      <c r="AD24" s="83">
        <f t="shared" si="16"/>
        <v>3</v>
      </c>
      <c r="AE24" s="86">
        <f t="shared" si="6"/>
        <v>120000</v>
      </c>
      <c r="AG24" s="140">
        <f t="shared" si="17"/>
        <v>1075168.6217008797</v>
      </c>
      <c r="AH24" s="98"/>
      <c r="AI24" s="103">
        <f>주류장부!K24</f>
        <v>2620000</v>
      </c>
      <c r="AJ24" s="103">
        <f t="shared" si="18"/>
        <v>1075168.6217008797</v>
      </c>
      <c r="AK24" s="145">
        <f t="shared" si="7"/>
        <v>0.41036970293926706</v>
      </c>
      <c r="AL24" s="103">
        <f t="shared" si="8"/>
        <v>262000</v>
      </c>
      <c r="AM24" s="103">
        <f t="shared" si="9"/>
        <v>65500</v>
      </c>
      <c r="AN24" s="103">
        <f t="shared" si="10"/>
        <v>602600</v>
      </c>
      <c r="AO24" s="103">
        <f t="shared" si="19"/>
        <v>614730.9679294175</v>
      </c>
    </row>
    <row r="25" spans="1:41" x14ac:dyDescent="0.3">
      <c r="A25" s="1">
        <v>44918</v>
      </c>
      <c r="B25" s="101">
        <v>1</v>
      </c>
      <c r="C25" s="114">
        <f t="shared" si="11"/>
        <v>129032.25806451614</v>
      </c>
      <c r="D25" s="111">
        <v>1</v>
      </c>
      <c r="E25" s="114">
        <f>IF(SUM(D$3:$D25)&gt;22,0,D25*(E$1/22))</f>
        <v>263636.36363636365</v>
      </c>
      <c r="F25" s="111"/>
      <c r="G25" s="114">
        <f>IF(SUM($F$3:F25)&gt;20,0,F25*(G$1/20))</f>
        <v>0</v>
      </c>
      <c r="H25" s="128">
        <v>0.85416666666666663</v>
      </c>
      <c r="I25" s="105">
        <v>0.125</v>
      </c>
      <c r="J25" s="83">
        <f t="shared" si="0"/>
        <v>6.5000000000000009</v>
      </c>
      <c r="K25" s="106">
        <f t="shared" si="1"/>
        <v>357500.00000000006</v>
      </c>
      <c r="L25" s="7"/>
      <c r="M25" s="4"/>
      <c r="N25" s="83" t="str">
        <f t="shared" si="12"/>
        <v>休</v>
      </c>
      <c r="O25" s="86" t="str">
        <f t="shared" si="2"/>
        <v/>
      </c>
      <c r="P25" s="7">
        <v>0.875</v>
      </c>
      <c r="Q25" s="4">
        <v>8.3333333333333329E-2</v>
      </c>
      <c r="R25" s="83">
        <f t="shared" si="13"/>
        <v>5.0000000000000009</v>
      </c>
      <c r="S25" s="86">
        <f t="shared" si="3"/>
        <v>175000.00000000003</v>
      </c>
      <c r="T25" s="7"/>
      <c r="U25" s="4"/>
      <c r="V25" s="83" t="str">
        <f t="shared" si="14"/>
        <v>休</v>
      </c>
      <c r="W25" s="86" t="str">
        <f t="shared" si="4"/>
        <v/>
      </c>
      <c r="X25" s="7">
        <v>0.85416666666666663</v>
      </c>
      <c r="Y25" s="4">
        <v>8.3333333333333329E-2</v>
      </c>
      <c r="Z25" s="83">
        <f t="shared" si="15"/>
        <v>5.5000000000000018</v>
      </c>
      <c r="AA25" s="86">
        <f t="shared" si="5"/>
        <v>275000.00000000012</v>
      </c>
      <c r="AB25" s="89">
        <v>0.8125</v>
      </c>
      <c r="AC25" s="90">
        <v>0.9375</v>
      </c>
      <c r="AD25" s="83">
        <f t="shared" si="16"/>
        <v>3</v>
      </c>
      <c r="AE25" s="86">
        <f t="shared" si="6"/>
        <v>120000</v>
      </c>
      <c r="AG25" s="140">
        <f t="shared" si="17"/>
        <v>1320168.6217008801</v>
      </c>
      <c r="AH25" s="98"/>
      <c r="AI25" s="103">
        <f>주류장부!K25</f>
        <v>4230000</v>
      </c>
      <c r="AJ25" s="103">
        <f t="shared" si="18"/>
        <v>1320168.6217008801</v>
      </c>
      <c r="AK25" s="145">
        <f t="shared" si="7"/>
        <v>0.31209660087491253</v>
      </c>
      <c r="AL25" s="103">
        <f t="shared" si="8"/>
        <v>423000</v>
      </c>
      <c r="AM25" s="103">
        <f t="shared" si="9"/>
        <v>105750</v>
      </c>
      <c r="AN25" s="103">
        <f t="shared" si="10"/>
        <v>972900</v>
      </c>
      <c r="AO25" s="103">
        <f t="shared" si="19"/>
        <v>1408181.066202519</v>
      </c>
    </row>
    <row r="26" spans="1:41" x14ac:dyDescent="0.3">
      <c r="A26" s="2">
        <v>44919</v>
      </c>
      <c r="B26" s="102">
        <v>1</v>
      </c>
      <c r="C26" s="115">
        <f t="shared" si="11"/>
        <v>129032.25806451614</v>
      </c>
      <c r="D26" s="112"/>
      <c r="E26" s="115">
        <f>IF(SUM(D$3:$D26)&gt;22,0,D26*(E$1/22))</f>
        <v>0</v>
      </c>
      <c r="F26" s="112"/>
      <c r="G26" s="115">
        <f>IF(SUM($F$3:F26)&gt;20,0,F26*(G$1/20))</f>
        <v>0</v>
      </c>
      <c r="H26" s="129"/>
      <c r="I26" s="107"/>
      <c r="J26" s="84" t="str">
        <f t="shared" si="0"/>
        <v>休</v>
      </c>
      <c r="K26" s="108" t="str">
        <f t="shared" si="1"/>
        <v/>
      </c>
      <c r="L26" s="8"/>
      <c r="M26" s="5"/>
      <c r="N26" s="84" t="str">
        <f t="shared" si="12"/>
        <v>休</v>
      </c>
      <c r="O26" s="87" t="str">
        <f t="shared" si="2"/>
        <v/>
      </c>
      <c r="P26" s="8"/>
      <c r="Q26" s="5"/>
      <c r="R26" s="84" t="str">
        <f t="shared" si="13"/>
        <v>休</v>
      </c>
      <c r="S26" s="87" t="str">
        <f t="shared" si="3"/>
        <v/>
      </c>
      <c r="T26" s="8"/>
      <c r="U26" s="5"/>
      <c r="V26" s="84" t="str">
        <f t="shared" si="14"/>
        <v>休</v>
      </c>
      <c r="W26" s="87" t="str">
        <f t="shared" si="4"/>
        <v/>
      </c>
      <c r="X26" s="8"/>
      <c r="Y26" s="5"/>
      <c r="Z26" s="84" t="str">
        <f t="shared" si="15"/>
        <v>休</v>
      </c>
      <c r="AA26" s="87" t="str">
        <f t="shared" si="5"/>
        <v/>
      </c>
      <c r="AB26" s="8"/>
      <c r="AC26" s="5"/>
      <c r="AD26" s="84" t="str">
        <f t="shared" si="16"/>
        <v>休</v>
      </c>
      <c r="AE26" s="87" t="str">
        <f t="shared" si="6"/>
        <v/>
      </c>
      <c r="AG26" s="141">
        <f t="shared" si="17"/>
        <v>129032.25806451614</v>
      </c>
      <c r="AH26" s="98"/>
      <c r="AI26" s="103">
        <f>주류장부!K26</f>
        <v>0</v>
      </c>
      <c r="AJ26" s="103">
        <f t="shared" si="18"/>
        <v>129032.25806451614</v>
      </c>
      <c r="AK26" s="145" t="str">
        <f t="shared" si="7"/>
        <v/>
      </c>
      <c r="AL26" s="103">
        <f t="shared" si="8"/>
        <v>0</v>
      </c>
      <c r="AM26" s="103">
        <f t="shared" si="9"/>
        <v>0</v>
      </c>
      <c r="AN26" s="103">
        <f t="shared" si="10"/>
        <v>0</v>
      </c>
      <c r="AO26" s="103">
        <f t="shared" si="19"/>
        <v>-129032.25806451614</v>
      </c>
    </row>
    <row r="27" spans="1:41" x14ac:dyDescent="0.3">
      <c r="A27" s="2">
        <v>44920</v>
      </c>
      <c r="B27" s="102">
        <v>1</v>
      </c>
      <c r="C27" s="115">
        <f t="shared" si="11"/>
        <v>129032.25806451614</v>
      </c>
      <c r="D27" s="112"/>
      <c r="E27" s="115">
        <f>IF(SUM(D$3:$D27)&gt;22,0,D27*(E$1/22))</f>
        <v>0</v>
      </c>
      <c r="F27" s="112"/>
      <c r="G27" s="115">
        <f>IF(SUM($F$3:F27)&gt;20,0,F27*(G$1/20))</f>
        <v>0</v>
      </c>
      <c r="H27" s="129"/>
      <c r="I27" s="107"/>
      <c r="J27" s="84" t="str">
        <f t="shared" si="0"/>
        <v>休</v>
      </c>
      <c r="K27" s="108" t="str">
        <f t="shared" si="1"/>
        <v/>
      </c>
      <c r="L27" s="8"/>
      <c r="M27" s="5"/>
      <c r="N27" s="84" t="str">
        <f t="shared" si="12"/>
        <v>休</v>
      </c>
      <c r="O27" s="87" t="str">
        <f t="shared" si="2"/>
        <v/>
      </c>
      <c r="P27" s="8"/>
      <c r="Q27" s="5"/>
      <c r="R27" s="84" t="str">
        <f t="shared" si="13"/>
        <v>休</v>
      </c>
      <c r="S27" s="87" t="str">
        <f t="shared" si="3"/>
        <v/>
      </c>
      <c r="T27" s="8"/>
      <c r="U27" s="5"/>
      <c r="V27" s="84" t="str">
        <f t="shared" si="14"/>
        <v>休</v>
      </c>
      <c r="W27" s="87" t="str">
        <f t="shared" si="4"/>
        <v/>
      </c>
      <c r="X27" s="8"/>
      <c r="Y27" s="5"/>
      <c r="Z27" s="84" t="str">
        <f t="shared" si="15"/>
        <v>休</v>
      </c>
      <c r="AA27" s="87" t="str">
        <f t="shared" si="5"/>
        <v/>
      </c>
      <c r="AB27" s="8"/>
      <c r="AC27" s="5"/>
      <c r="AD27" s="84" t="str">
        <f t="shared" si="16"/>
        <v>休</v>
      </c>
      <c r="AE27" s="87" t="str">
        <f t="shared" si="6"/>
        <v/>
      </c>
      <c r="AG27" s="141">
        <f t="shared" si="17"/>
        <v>129032.25806451614</v>
      </c>
      <c r="AH27" s="98"/>
      <c r="AI27" s="103">
        <f>주류장부!K27</f>
        <v>0</v>
      </c>
      <c r="AJ27" s="103">
        <f t="shared" si="18"/>
        <v>129032.25806451614</v>
      </c>
      <c r="AK27" s="145" t="str">
        <f t="shared" si="7"/>
        <v/>
      </c>
      <c r="AL27" s="103">
        <f t="shared" si="8"/>
        <v>0</v>
      </c>
      <c r="AM27" s="103">
        <f t="shared" si="9"/>
        <v>0</v>
      </c>
      <c r="AN27" s="103">
        <f t="shared" si="10"/>
        <v>0</v>
      </c>
      <c r="AO27" s="103">
        <f t="shared" si="19"/>
        <v>-129032.25806451614</v>
      </c>
    </row>
    <row r="28" spans="1:41" x14ac:dyDescent="0.3">
      <c r="A28" s="1">
        <v>44921</v>
      </c>
      <c r="B28" s="101">
        <v>1</v>
      </c>
      <c r="C28" s="114">
        <f t="shared" si="11"/>
        <v>129032.25806451614</v>
      </c>
      <c r="D28" s="111">
        <v>1</v>
      </c>
      <c r="E28" s="114">
        <f>IF(SUM(D$3:$D28)&gt;22,0,D28*(E$1/22))</f>
        <v>263636.36363636365</v>
      </c>
      <c r="F28" s="111"/>
      <c r="G28" s="114">
        <f>IF(SUM($F$3:F28)&gt;20,0,F28*(G$1/20))</f>
        <v>0</v>
      </c>
      <c r="H28" s="128">
        <v>0.85416666666666663</v>
      </c>
      <c r="I28" s="105">
        <v>0.95833333333333337</v>
      </c>
      <c r="J28" s="83">
        <f t="shared" si="0"/>
        <v>2.5000000000000018</v>
      </c>
      <c r="K28" s="106">
        <f t="shared" si="1"/>
        <v>137500.00000000009</v>
      </c>
      <c r="L28" s="7"/>
      <c r="M28" s="4"/>
      <c r="N28" s="83" t="str">
        <f t="shared" si="12"/>
        <v>休</v>
      </c>
      <c r="O28" s="86" t="str">
        <f t="shared" si="2"/>
        <v/>
      </c>
      <c r="P28" s="7"/>
      <c r="Q28" s="4"/>
      <c r="R28" s="83" t="str">
        <f t="shared" si="13"/>
        <v>休</v>
      </c>
      <c r="S28" s="86" t="str">
        <f t="shared" si="3"/>
        <v/>
      </c>
      <c r="T28" s="7"/>
      <c r="U28" s="4"/>
      <c r="V28" s="83" t="str">
        <f t="shared" si="14"/>
        <v>休</v>
      </c>
      <c r="W28" s="86" t="str">
        <f t="shared" si="4"/>
        <v/>
      </c>
      <c r="X28" s="7"/>
      <c r="Y28" s="4"/>
      <c r="Z28" s="83" t="str">
        <f t="shared" si="15"/>
        <v>休</v>
      </c>
      <c r="AA28" s="86" t="str">
        <f t="shared" si="5"/>
        <v/>
      </c>
      <c r="AB28" s="89">
        <v>0.8125</v>
      </c>
      <c r="AC28" s="90">
        <v>0.9375</v>
      </c>
      <c r="AD28" s="83">
        <f t="shared" si="16"/>
        <v>3</v>
      </c>
      <c r="AE28" s="86">
        <f t="shared" si="6"/>
        <v>120000</v>
      </c>
      <c r="AG28" s="140">
        <f t="shared" si="17"/>
        <v>650168.62170087988</v>
      </c>
      <c r="AH28" s="98"/>
      <c r="AI28" s="103">
        <f>주류장부!K28</f>
        <v>640000</v>
      </c>
      <c r="AJ28" s="103">
        <f t="shared" si="18"/>
        <v>650168.62170087988</v>
      </c>
      <c r="AK28" s="145">
        <f t="shared" si="7"/>
        <v>1.0158884714076248</v>
      </c>
      <c r="AL28" s="103">
        <f t="shared" si="8"/>
        <v>64000</v>
      </c>
      <c r="AM28" s="103">
        <f t="shared" si="9"/>
        <v>16000</v>
      </c>
      <c r="AN28" s="103">
        <f t="shared" si="10"/>
        <v>147200</v>
      </c>
      <c r="AO28" s="103">
        <f t="shared" si="19"/>
        <v>-237369.63758935127</v>
      </c>
    </row>
    <row r="29" spans="1:41" x14ac:dyDescent="0.3">
      <c r="A29" s="1">
        <v>44922</v>
      </c>
      <c r="B29" s="101">
        <v>1</v>
      </c>
      <c r="C29" s="114">
        <f t="shared" si="11"/>
        <v>129032.25806451614</v>
      </c>
      <c r="D29" s="111">
        <v>1</v>
      </c>
      <c r="E29" s="114">
        <f>IF(SUM(D$3:$D29)&gt;22,0,D29*(E$1/22))</f>
        <v>263636.36363636365</v>
      </c>
      <c r="F29" s="111">
        <v>1</v>
      </c>
      <c r="G29" s="114">
        <f>IF(SUM($F$3:F29)&gt;20,0,F29*(G$1/20))</f>
        <v>240000</v>
      </c>
      <c r="H29" s="128"/>
      <c r="I29" s="105"/>
      <c r="J29" s="83" t="str">
        <f t="shared" si="0"/>
        <v>休</v>
      </c>
      <c r="K29" s="106" t="str">
        <f t="shared" si="1"/>
        <v/>
      </c>
      <c r="L29" s="7">
        <v>0.83333333333333337</v>
      </c>
      <c r="M29" s="4">
        <v>0</v>
      </c>
      <c r="N29" s="83">
        <f t="shared" si="12"/>
        <v>3.9999999999999991</v>
      </c>
      <c r="O29" s="86">
        <f t="shared" si="2"/>
        <v>179999.99999999997</v>
      </c>
      <c r="P29" s="7">
        <v>0.85416666666666663</v>
      </c>
      <c r="Q29" s="4">
        <v>0</v>
      </c>
      <c r="R29" s="83">
        <f t="shared" si="13"/>
        <v>3.5000000000000009</v>
      </c>
      <c r="S29" s="86">
        <f t="shared" si="3"/>
        <v>122500.00000000003</v>
      </c>
      <c r="T29" s="7"/>
      <c r="U29" s="4"/>
      <c r="V29" s="83" t="str">
        <f t="shared" si="14"/>
        <v>休</v>
      </c>
      <c r="W29" s="86" t="str">
        <f t="shared" si="4"/>
        <v/>
      </c>
      <c r="X29" s="7"/>
      <c r="Y29" s="4"/>
      <c r="Z29" s="83" t="str">
        <f t="shared" si="15"/>
        <v>休</v>
      </c>
      <c r="AA29" s="86" t="str">
        <f t="shared" si="5"/>
        <v/>
      </c>
      <c r="AB29" s="89">
        <v>0.8125</v>
      </c>
      <c r="AC29" s="90">
        <v>0.9375</v>
      </c>
      <c r="AD29" s="83">
        <f t="shared" si="16"/>
        <v>3</v>
      </c>
      <c r="AE29" s="86">
        <f t="shared" si="6"/>
        <v>120000</v>
      </c>
      <c r="AG29" s="140">
        <f t="shared" si="17"/>
        <v>1055168.6217008797</v>
      </c>
      <c r="AH29" s="98"/>
      <c r="AI29" s="103">
        <f>주류장부!K29</f>
        <v>1140000</v>
      </c>
      <c r="AJ29" s="103">
        <f t="shared" si="18"/>
        <v>1055168.6217008797</v>
      </c>
      <c r="AK29" s="145">
        <f t="shared" si="7"/>
        <v>0.92558651026392957</v>
      </c>
      <c r="AL29" s="103">
        <f t="shared" si="8"/>
        <v>114000</v>
      </c>
      <c r="AM29" s="103">
        <f t="shared" si="9"/>
        <v>28500</v>
      </c>
      <c r="AN29" s="103">
        <f t="shared" si="10"/>
        <v>262200</v>
      </c>
      <c r="AO29" s="103">
        <f t="shared" si="19"/>
        <v>-319869.54728738987</v>
      </c>
    </row>
    <row r="30" spans="1:41" x14ac:dyDescent="0.3">
      <c r="A30" s="1">
        <v>44923</v>
      </c>
      <c r="B30" s="101">
        <v>1</v>
      </c>
      <c r="C30" s="114">
        <f t="shared" si="11"/>
        <v>129032.25806451614</v>
      </c>
      <c r="D30" s="111">
        <v>1</v>
      </c>
      <c r="E30" s="114">
        <f>IF(SUM(D$3:$D30)&gt;22,0,D30*(E$1/22))</f>
        <v>263636.36363636365</v>
      </c>
      <c r="F30" s="111">
        <v>1</v>
      </c>
      <c r="G30" s="114">
        <f>IF(SUM($F$3:F30)&gt;20,0,F30*(G$1/20))</f>
        <v>240000</v>
      </c>
      <c r="H30" s="128"/>
      <c r="I30" s="105"/>
      <c r="J30" s="83" t="str">
        <f t="shared" si="0"/>
        <v>休</v>
      </c>
      <c r="K30" s="106" t="str">
        <f t="shared" si="1"/>
        <v/>
      </c>
      <c r="L30" s="7"/>
      <c r="M30" s="4"/>
      <c r="N30" s="83" t="str">
        <f t="shared" si="12"/>
        <v>休</v>
      </c>
      <c r="O30" s="86" t="str">
        <f t="shared" si="2"/>
        <v/>
      </c>
      <c r="P30" s="7">
        <v>0.875</v>
      </c>
      <c r="Q30" s="4">
        <v>0</v>
      </c>
      <c r="R30" s="83">
        <f t="shared" si="13"/>
        <v>3</v>
      </c>
      <c r="S30" s="86">
        <f t="shared" si="3"/>
        <v>105000</v>
      </c>
      <c r="T30" s="7">
        <v>0.89583333333333337</v>
      </c>
      <c r="U30" s="4">
        <v>1</v>
      </c>
      <c r="V30" s="83">
        <f t="shared" si="14"/>
        <v>2.4999999999999991</v>
      </c>
      <c r="W30" s="86">
        <f t="shared" si="4"/>
        <v>124999.99999999996</v>
      </c>
      <c r="X30" s="7"/>
      <c r="Y30" s="4"/>
      <c r="Z30" s="83" t="str">
        <f t="shared" si="15"/>
        <v>休</v>
      </c>
      <c r="AA30" s="86" t="str">
        <f t="shared" si="5"/>
        <v/>
      </c>
      <c r="AB30" s="89">
        <v>0.8125</v>
      </c>
      <c r="AC30" s="90">
        <v>0.9375</v>
      </c>
      <c r="AD30" s="83">
        <f t="shared" si="16"/>
        <v>3</v>
      </c>
      <c r="AE30" s="86">
        <f t="shared" si="6"/>
        <v>120000</v>
      </c>
      <c r="AG30" s="140">
        <f t="shared" si="17"/>
        <v>982668.62170087977</v>
      </c>
      <c r="AH30" s="98"/>
      <c r="AI30" s="103">
        <f>주류장부!K30</f>
        <v>1810000</v>
      </c>
      <c r="AJ30" s="103">
        <f t="shared" si="18"/>
        <v>982668.62170087977</v>
      </c>
      <c r="AK30" s="145">
        <f t="shared" si="7"/>
        <v>0.54291084071871809</v>
      </c>
      <c r="AL30" s="103">
        <f t="shared" si="8"/>
        <v>181000</v>
      </c>
      <c r="AM30" s="103">
        <f t="shared" si="9"/>
        <v>45250</v>
      </c>
      <c r="AN30" s="103">
        <f t="shared" si="10"/>
        <v>416300</v>
      </c>
      <c r="AO30" s="103">
        <f t="shared" si="19"/>
        <v>184780.83538827952</v>
      </c>
    </row>
    <row r="31" spans="1:41" x14ac:dyDescent="0.3">
      <c r="A31" s="1">
        <v>44924</v>
      </c>
      <c r="B31" s="101">
        <v>1</v>
      </c>
      <c r="C31" s="114">
        <f t="shared" si="11"/>
        <v>129032.25806451614</v>
      </c>
      <c r="D31" s="111">
        <v>1</v>
      </c>
      <c r="E31" s="114">
        <f>IF(SUM(D$3:$D31)&gt;22,0,D31*(E$1/22))</f>
        <v>263636.36363636365</v>
      </c>
      <c r="F31" s="111">
        <v>1</v>
      </c>
      <c r="G31" s="114">
        <f>IF(SUM($F$3:F31)&gt;20,0,F31*(G$1/20))</f>
        <v>240000</v>
      </c>
      <c r="H31" s="128"/>
      <c r="I31" s="105"/>
      <c r="J31" s="83" t="str">
        <f t="shared" si="0"/>
        <v>休</v>
      </c>
      <c r="K31" s="106" t="str">
        <f t="shared" si="1"/>
        <v/>
      </c>
      <c r="L31" s="7">
        <v>0.83333333333333337</v>
      </c>
      <c r="M31" s="4">
        <v>0</v>
      </c>
      <c r="N31" s="83">
        <f t="shared" si="12"/>
        <v>3.9999999999999991</v>
      </c>
      <c r="O31" s="86">
        <f t="shared" si="2"/>
        <v>179999.99999999997</v>
      </c>
      <c r="P31" s="7">
        <v>0.875</v>
      </c>
      <c r="Q31" s="4">
        <v>0</v>
      </c>
      <c r="R31" s="83">
        <f t="shared" si="13"/>
        <v>3</v>
      </c>
      <c r="S31" s="86">
        <f t="shared" si="3"/>
        <v>105000</v>
      </c>
      <c r="T31" s="7"/>
      <c r="U31" s="4"/>
      <c r="V31" s="83" t="str">
        <f t="shared" si="14"/>
        <v>休</v>
      </c>
      <c r="W31" s="86" t="str">
        <f t="shared" si="4"/>
        <v/>
      </c>
      <c r="X31" s="7"/>
      <c r="Y31" s="4"/>
      <c r="Z31" s="83" t="str">
        <f t="shared" si="15"/>
        <v>休</v>
      </c>
      <c r="AA31" s="86" t="str">
        <f t="shared" si="5"/>
        <v/>
      </c>
      <c r="AB31" s="89">
        <v>0.8125</v>
      </c>
      <c r="AC31" s="90">
        <v>0.9375</v>
      </c>
      <c r="AD31" s="83">
        <f t="shared" si="16"/>
        <v>3</v>
      </c>
      <c r="AE31" s="86">
        <f t="shared" si="6"/>
        <v>120000</v>
      </c>
      <c r="AG31" s="140">
        <f t="shared" si="17"/>
        <v>1037668.6217008798</v>
      </c>
      <c r="AH31" s="98"/>
      <c r="AI31" s="103">
        <f>주류장부!K31</f>
        <v>1620000</v>
      </c>
      <c r="AJ31" s="103">
        <f t="shared" si="18"/>
        <v>1037668.6217008798</v>
      </c>
      <c r="AK31" s="145">
        <f t="shared" si="7"/>
        <v>0.64053618623511099</v>
      </c>
      <c r="AL31" s="103">
        <f t="shared" si="8"/>
        <v>162000</v>
      </c>
      <c r="AM31" s="103">
        <f t="shared" si="9"/>
        <v>40500</v>
      </c>
      <c r="AN31" s="103">
        <f t="shared" si="10"/>
        <v>372600</v>
      </c>
      <c r="AO31" s="103">
        <f t="shared" si="19"/>
        <v>7230.7377629340626</v>
      </c>
    </row>
    <row r="32" spans="1:41" x14ac:dyDescent="0.3">
      <c r="A32" s="1">
        <v>44925</v>
      </c>
      <c r="B32" s="101">
        <v>1</v>
      </c>
      <c r="C32" s="114">
        <f t="shared" si="11"/>
        <v>129032.25806451614</v>
      </c>
      <c r="D32" s="111">
        <v>1</v>
      </c>
      <c r="E32" s="114">
        <f>IF(SUM(D$3:$D32)&gt;22,0,D32*(E$1/22))</f>
        <v>263636.36363636365</v>
      </c>
      <c r="F32" s="111">
        <v>1</v>
      </c>
      <c r="G32" s="114">
        <f>IF(SUM($F$3:F32)&gt;20,0,F32*(G$1/20))</f>
        <v>240000</v>
      </c>
      <c r="H32" s="128"/>
      <c r="I32" s="105"/>
      <c r="J32" s="83" t="str">
        <f t="shared" si="0"/>
        <v>休</v>
      </c>
      <c r="K32" s="106" t="str">
        <f t="shared" si="1"/>
        <v/>
      </c>
      <c r="L32" s="7">
        <v>0.83333333333333337</v>
      </c>
      <c r="M32" s="4">
        <v>0</v>
      </c>
      <c r="N32" s="83">
        <f t="shared" si="12"/>
        <v>3.9999999999999991</v>
      </c>
      <c r="O32" s="86">
        <f t="shared" si="2"/>
        <v>179999.99999999997</v>
      </c>
      <c r="P32" s="7"/>
      <c r="Q32" s="4"/>
      <c r="R32" s="83" t="str">
        <f t="shared" si="13"/>
        <v>休</v>
      </c>
      <c r="S32" s="86" t="str">
        <f t="shared" si="3"/>
        <v/>
      </c>
      <c r="T32" s="7">
        <v>0.89583333333333337</v>
      </c>
      <c r="U32" s="4">
        <v>8.3333333333333329E-2</v>
      </c>
      <c r="V32" s="83">
        <f t="shared" si="14"/>
        <v>4.5</v>
      </c>
      <c r="W32" s="86">
        <f t="shared" si="4"/>
        <v>225000</v>
      </c>
      <c r="X32" s="7">
        <v>0.85416666666666663</v>
      </c>
      <c r="Y32" s="4">
        <v>8.3333333333333329E-2</v>
      </c>
      <c r="Z32" s="83">
        <f t="shared" si="15"/>
        <v>5.5000000000000018</v>
      </c>
      <c r="AA32" s="86">
        <f t="shared" si="5"/>
        <v>275000.00000000012</v>
      </c>
      <c r="AB32" s="89">
        <v>0.8125</v>
      </c>
      <c r="AC32" s="90">
        <v>0.9375</v>
      </c>
      <c r="AD32" s="83">
        <f t="shared" si="16"/>
        <v>3</v>
      </c>
      <c r="AE32" s="86">
        <f t="shared" si="6"/>
        <v>120000</v>
      </c>
      <c r="AG32" s="140">
        <f t="shared" si="17"/>
        <v>1432668.6217008799</v>
      </c>
      <c r="AH32" s="98"/>
      <c r="AI32" s="103">
        <f>주류장부!K32</f>
        <v>2740000</v>
      </c>
      <c r="AJ32" s="103">
        <f t="shared" si="18"/>
        <v>1432668.6217008799</v>
      </c>
      <c r="AK32" s="145">
        <f t="shared" si="7"/>
        <v>0.52287175974484668</v>
      </c>
      <c r="AL32" s="103">
        <f t="shared" si="8"/>
        <v>274000</v>
      </c>
      <c r="AM32" s="103">
        <f t="shared" si="9"/>
        <v>68500</v>
      </c>
      <c r="AN32" s="103">
        <f t="shared" si="10"/>
        <v>630200</v>
      </c>
      <c r="AO32" s="103">
        <f t="shared" si="19"/>
        <v>334630.85542736016</v>
      </c>
    </row>
    <row r="33" spans="1:43" ht="17.25" thickBot="1" x14ac:dyDescent="0.35">
      <c r="A33" s="2">
        <v>44926</v>
      </c>
      <c r="B33" s="117">
        <v>1</v>
      </c>
      <c r="C33" s="116">
        <f t="shared" si="11"/>
        <v>129032.25806451614</v>
      </c>
      <c r="D33" s="113"/>
      <c r="E33" s="116">
        <f>IF(SUM(D$3:$D33)&gt;22,0,D33*(E$1/22))</f>
        <v>0</v>
      </c>
      <c r="F33" s="113"/>
      <c r="G33" s="116">
        <f>IF(SUM($F$3:F33)&gt;20,0,F33*(G$1/20))</f>
        <v>0</v>
      </c>
      <c r="H33" s="130"/>
      <c r="I33" s="109"/>
      <c r="J33" s="85" t="str">
        <f t="shared" si="0"/>
        <v>休</v>
      </c>
      <c r="K33" s="110" t="str">
        <f t="shared" si="1"/>
        <v/>
      </c>
      <c r="L33" s="9"/>
      <c r="M33" s="10"/>
      <c r="N33" s="85" t="str">
        <f t="shared" si="12"/>
        <v>休</v>
      </c>
      <c r="O33" s="88" t="str">
        <f t="shared" si="2"/>
        <v/>
      </c>
      <c r="P33" s="9"/>
      <c r="Q33" s="10"/>
      <c r="R33" s="85" t="str">
        <f t="shared" si="13"/>
        <v>休</v>
      </c>
      <c r="S33" s="88" t="str">
        <f t="shared" si="3"/>
        <v/>
      </c>
      <c r="T33" s="9"/>
      <c r="U33" s="10"/>
      <c r="V33" s="85" t="str">
        <f t="shared" si="14"/>
        <v>休</v>
      </c>
      <c r="W33" s="88" t="str">
        <f t="shared" si="4"/>
        <v/>
      </c>
      <c r="X33" s="9"/>
      <c r="Y33" s="10"/>
      <c r="Z33" s="85" t="str">
        <f t="shared" si="15"/>
        <v>休</v>
      </c>
      <c r="AA33" s="88" t="str">
        <f t="shared" si="5"/>
        <v/>
      </c>
      <c r="AB33" s="9"/>
      <c r="AC33" s="10"/>
      <c r="AD33" s="85" t="str">
        <f t="shared" si="16"/>
        <v>休</v>
      </c>
      <c r="AE33" s="88" t="str">
        <f t="shared" si="6"/>
        <v/>
      </c>
      <c r="AG33" s="142">
        <f t="shared" si="17"/>
        <v>129032.25806451614</v>
      </c>
      <c r="AH33" s="98"/>
      <c r="AI33" s="103">
        <f>주류장부!K33</f>
        <v>0</v>
      </c>
      <c r="AJ33" s="103">
        <f t="shared" si="18"/>
        <v>129032.25806451614</v>
      </c>
      <c r="AK33" s="145" t="str">
        <f t="shared" si="7"/>
        <v/>
      </c>
      <c r="AL33" s="103">
        <f t="shared" si="8"/>
        <v>0</v>
      </c>
      <c r="AM33" s="103">
        <f t="shared" si="9"/>
        <v>0</v>
      </c>
      <c r="AN33" s="103">
        <f t="shared" si="10"/>
        <v>0</v>
      </c>
      <c r="AO33" s="103">
        <f t="shared" si="19"/>
        <v>-129032.25806451614</v>
      </c>
    </row>
    <row r="34" spans="1:43" ht="17.25" thickBot="1" x14ac:dyDescent="0.35">
      <c r="A34" s="2" t="s">
        <v>4</v>
      </c>
      <c r="B34" s="100">
        <f>SUM(B3:B33)</f>
        <v>31</v>
      </c>
      <c r="C34" s="100"/>
      <c r="D34" s="100">
        <f>SUM(D3:D33)</f>
        <v>22</v>
      </c>
      <c r="E34" s="100"/>
      <c r="F34" s="100">
        <f>SUM(F3:F33)</f>
        <v>18</v>
      </c>
      <c r="G34" s="100"/>
      <c r="H34" s="3"/>
      <c r="I34" s="3"/>
      <c r="J34" s="3">
        <f>SUM(J3:J33)</f>
        <v>61.5</v>
      </c>
      <c r="K34" s="3"/>
      <c r="L34" s="3"/>
      <c r="M34" s="3"/>
      <c r="N34" s="3">
        <f>SUM(N3:N33)</f>
        <v>50.499999999999993</v>
      </c>
      <c r="O34" s="3"/>
      <c r="P34" s="3"/>
      <c r="Q34" s="3"/>
      <c r="R34" s="3">
        <f>SUM(R3:R33)</f>
        <v>53.499999999999993</v>
      </c>
      <c r="S34" s="3"/>
      <c r="T34" s="3"/>
      <c r="U34" s="3"/>
      <c r="V34" s="3">
        <f>SUM(V3:V33)</f>
        <v>26</v>
      </c>
      <c r="W34" s="3"/>
      <c r="X34" s="3"/>
      <c r="Y34" s="3"/>
      <c r="Z34" s="3">
        <f>SUM(Z3:Z33)</f>
        <v>24.000000000000007</v>
      </c>
      <c r="AA34" s="3"/>
      <c r="AB34" s="3"/>
      <c r="AC34" s="3"/>
      <c r="AD34" s="3">
        <f>SUM(AD3:AD33)</f>
        <v>66.5</v>
      </c>
      <c r="AE34" s="3"/>
      <c r="AG34" s="143">
        <f>SUMIF($B$2:$AA$2,"당일 급여",B34:AA34)</f>
        <v>0</v>
      </c>
      <c r="AH34" s="98"/>
      <c r="AJ34" s="98"/>
      <c r="AK34" s="136"/>
      <c r="AN34" t="s">
        <v>56</v>
      </c>
      <c r="AO34" s="98">
        <f>SUM(AO3:AO33)</f>
        <v>2469034.1713039624</v>
      </c>
    </row>
    <row r="35" spans="1:43" s="11" customFormat="1" x14ac:dyDescent="0.3">
      <c r="A35" s="11" t="s">
        <v>5</v>
      </c>
      <c r="C35" s="11">
        <f>SUM(C3:C33)</f>
        <v>4000000.0000000033</v>
      </c>
      <c r="E35" s="11">
        <f>SUM(E3:E33)</f>
        <v>5799999.9999999991</v>
      </c>
      <c r="G35" s="11">
        <f>SUM(G3:G33)</f>
        <v>4320000</v>
      </c>
      <c r="K35" s="11">
        <f>J34*K1</f>
        <v>3382500</v>
      </c>
      <c r="O35" s="11">
        <f>N34*O1</f>
        <v>2272499.9999999995</v>
      </c>
      <c r="S35" s="11">
        <f>R34*S1</f>
        <v>1872499.9999999998</v>
      </c>
      <c r="W35" s="11">
        <f>V34*W1</f>
        <v>1300000</v>
      </c>
      <c r="AA35" s="11">
        <f>Z34*AA1</f>
        <v>1200000.0000000005</v>
      </c>
      <c r="AE35" s="11">
        <f>AD34*AE1</f>
        <v>2660000</v>
      </c>
      <c r="AF35"/>
      <c r="AI35" s="11">
        <f>SUM(AI3:AI33)</f>
        <v>45390000</v>
      </c>
      <c r="AJ35" s="11">
        <f>SUMIF($B$2:$AA$2,"당일 급여",B35:AA35)</f>
        <v>24147500</v>
      </c>
      <c r="AK35" s="243">
        <f>IFERROR(AJ35/AI35,"")</f>
        <v>0.53200044062568852</v>
      </c>
    </row>
    <row r="36" spans="1:43" s="11" customFormat="1" x14ac:dyDescent="0.3">
      <c r="A36" s="11" t="s">
        <v>8</v>
      </c>
      <c r="D36" s="99">
        <f>_xlfn.IFNA(HLOOKUP(D1,'메이드 인센'!$B$35:$V$37,3,FALSE),0)</f>
        <v>122.70000000000002</v>
      </c>
      <c r="E36" s="11">
        <f>D36*10000</f>
        <v>1227000.0000000002</v>
      </c>
      <c r="F36" s="99">
        <f>_xlfn.IFNA(HLOOKUP(F1,'메이드 인센'!$B$35:$V$37,3,FALSE),0)</f>
        <v>44.3</v>
      </c>
      <c r="G36" s="11">
        <f>F36*10000</f>
        <v>443000</v>
      </c>
      <c r="H36" s="99">
        <f>_xlfn.IFNA(HLOOKUP(H1,'메이드 인센'!$B$35:$V$37,3,FALSE),0)</f>
        <v>47.400000000000006</v>
      </c>
      <c r="K36" s="11">
        <f>H36*10000</f>
        <v>474000.00000000006</v>
      </c>
      <c r="L36" s="99">
        <f>_xlfn.IFNA(HLOOKUP(L1,'메이드 인센'!$B$35:$V$37,3,FALSE),0)</f>
        <v>5.5</v>
      </c>
      <c r="O36" s="11">
        <f>L36*10000</f>
        <v>55000</v>
      </c>
      <c r="P36" s="99">
        <f>_xlfn.IFNA(HLOOKUP(P1,'메이드 인센'!$B$35:$V$37,3,FALSE),0)</f>
        <v>4</v>
      </c>
      <c r="S36" s="11">
        <f>P36*10000</f>
        <v>40000</v>
      </c>
      <c r="T36" s="99">
        <f>_xlfn.IFNA(HLOOKUP(T1,'메이드 인센'!$B$35:$V$37,3,FALSE),0)</f>
        <v>2</v>
      </c>
      <c r="W36" s="11">
        <f>T36*10000</f>
        <v>20000</v>
      </c>
      <c r="X36" s="99">
        <f>_xlfn.IFNA(HLOOKUP(X1,'메이드 인센'!$B$35:$V$37,3,FALSE),0)</f>
        <v>5.8</v>
      </c>
      <c r="AA36" s="11">
        <f>X36*10000</f>
        <v>58000</v>
      </c>
      <c r="AB36" s="99">
        <f>_xlfn.IFNA(HLOOKUP(AB1,'메이드 인센'!$B$35:$V$37,3,FALSE),0)</f>
        <v>0</v>
      </c>
      <c r="AE36" s="11">
        <f>AB36*10000</f>
        <v>0</v>
      </c>
      <c r="AF36"/>
      <c r="AJ36" s="11">
        <f>SUMIF($B$2:$AA$2,"당일 급여",B36:AA36)</f>
        <v>2317000.0000000005</v>
      </c>
    </row>
    <row r="37" spans="1:43" s="11" customFormat="1" x14ac:dyDescent="0.3">
      <c r="A37" s="11" t="s">
        <v>10</v>
      </c>
      <c r="C37" s="11">
        <f>(C35+C36)*0.033</f>
        <v>132000.00000000012</v>
      </c>
      <c r="E37" s="11">
        <f>(E35+E36)*0.033</f>
        <v>231890.99999999997</v>
      </c>
      <c r="G37" s="11">
        <f>(G35+G36)*0.033</f>
        <v>157179</v>
      </c>
      <c r="K37" s="11">
        <f>(K35+K36)*0.033</f>
        <v>127264.5</v>
      </c>
      <c r="O37" s="11">
        <f>(O35+O36)*0.033</f>
        <v>76807.499999999985</v>
      </c>
      <c r="S37" s="11">
        <f>(S35+S36)*0.033</f>
        <v>63112.499999999993</v>
      </c>
      <c r="W37" s="11">
        <f>(W35+W36)*0.033</f>
        <v>43560</v>
      </c>
      <c r="AA37" s="11">
        <f>(AA35+AA36)*0.033</f>
        <v>41514.000000000015</v>
      </c>
      <c r="AE37" s="11">
        <f>(AE35+AE36)*0.033</f>
        <v>87780</v>
      </c>
      <c r="AF37"/>
    </row>
    <row r="38" spans="1:43" x14ac:dyDescent="0.3">
      <c r="A38" s="96" t="s">
        <v>9</v>
      </c>
      <c r="B38" s="96"/>
      <c r="C38" s="97">
        <f>INT((C35+C36-C37)/100)*100</f>
        <v>3868000</v>
      </c>
      <c r="D38" s="96"/>
      <c r="E38" s="97">
        <f>INT((E35+E36-E37)/100)*100</f>
        <v>6795100</v>
      </c>
      <c r="F38" s="96"/>
      <c r="G38" s="97">
        <f>INT((G35+G36-G37)/100)*100</f>
        <v>4605800</v>
      </c>
      <c r="H38" s="96"/>
      <c r="I38" s="96"/>
      <c r="J38" s="96"/>
      <c r="K38" s="97">
        <f>INT((K35+K36-K37)/100)*100</f>
        <v>3729200</v>
      </c>
      <c r="L38" s="96"/>
      <c r="M38" s="96"/>
      <c r="N38" s="96"/>
      <c r="O38" s="97">
        <f>INT((O35+O36-O37)/100)*100</f>
        <v>2250600</v>
      </c>
      <c r="P38" s="96"/>
      <c r="Q38" s="96"/>
      <c r="R38" s="96"/>
      <c r="S38" s="97">
        <f>INT((S35+S36-S37)/100)*100</f>
        <v>1849300</v>
      </c>
      <c r="T38" s="96"/>
      <c r="U38" s="96"/>
      <c r="V38" s="96"/>
      <c r="W38" s="97">
        <f>INT((W35+W36-W37)/100)*100</f>
        <v>1276400</v>
      </c>
      <c r="X38" s="96"/>
      <c r="Y38" s="96"/>
      <c r="Z38" s="96"/>
      <c r="AA38" s="97">
        <f>INT((AA35+AA36-AA37)/100)*100</f>
        <v>1216400</v>
      </c>
      <c r="AB38" s="96"/>
      <c r="AC38" s="96"/>
      <c r="AD38" s="96"/>
      <c r="AE38" s="97">
        <f>INT((AE35+AE36-AE37)/100)*100</f>
        <v>2572200</v>
      </c>
      <c r="AG38" s="98"/>
      <c r="AH38" s="98"/>
      <c r="AI38" s="137">
        <f>주류장부!K34</f>
        <v>45390000</v>
      </c>
      <c r="AJ38" s="98">
        <f>SUM(A38:AA38)+AJ37+AJ36</f>
        <v>27907800</v>
      </c>
      <c r="AK38" s="243">
        <f>IFERROR(AJ38/AI38,"")</f>
        <v>0.61484467944481158</v>
      </c>
    </row>
    <row r="39" spans="1:43" s="11" customFormat="1" x14ac:dyDescent="0.3">
      <c r="A39" s="11" t="s">
        <v>29</v>
      </c>
      <c r="K39" s="11">
        <f>H36*$A$40</f>
        <v>10428000.000000002</v>
      </c>
      <c r="O39" s="11">
        <f>L36*$A$40</f>
        <v>1210000</v>
      </c>
      <c r="S39" s="11">
        <f>P36*$A$40</f>
        <v>880000</v>
      </c>
      <c r="W39" s="11">
        <f>T36*$A$40</f>
        <v>440000</v>
      </c>
      <c r="AA39" s="11">
        <f>X36*$A$40</f>
        <v>1276000</v>
      </c>
      <c r="AE39" s="11">
        <f>AB36*$A$40</f>
        <v>0</v>
      </c>
      <c r="AF39"/>
    </row>
    <row r="40" spans="1:43" x14ac:dyDescent="0.3">
      <c r="A40" s="11">
        <v>220000</v>
      </c>
      <c r="P40" s="11" t="s">
        <v>30</v>
      </c>
      <c r="AH40" s="11"/>
      <c r="AI40" s="11"/>
      <c r="AJ40" s="11"/>
      <c r="AK40" s="11"/>
      <c r="AL40" s="11"/>
      <c r="AM40" s="11"/>
      <c r="AN40" s="11"/>
      <c r="AO40" s="11"/>
      <c r="AP40" s="11"/>
      <c r="AQ40" s="11"/>
    </row>
    <row r="41" spans="1:43" x14ac:dyDescent="0.3">
      <c r="AH41" s="11"/>
      <c r="AK41" s="11"/>
      <c r="AL41" s="11"/>
      <c r="AM41" s="11"/>
      <c r="AN41" s="11"/>
      <c r="AO41" s="11"/>
      <c r="AP41" s="11"/>
      <c r="AQ41" s="11"/>
    </row>
    <row r="42" spans="1:43" x14ac:dyDescent="0.3">
      <c r="AH42" s="11"/>
      <c r="AK42" s="11"/>
      <c r="AL42" s="11"/>
      <c r="AM42" s="11"/>
      <c r="AN42" s="11"/>
      <c r="AO42" s="11"/>
      <c r="AP42" s="11"/>
      <c r="AQ42" s="11"/>
    </row>
    <row r="43" spans="1:43" x14ac:dyDescent="0.3">
      <c r="D43">
        <v>20</v>
      </c>
      <c r="AH43" s="11"/>
      <c r="AK43" s="11"/>
      <c r="AL43" s="11"/>
      <c r="AM43" s="11"/>
      <c r="AN43" s="11"/>
      <c r="AO43" s="11"/>
      <c r="AP43" s="11"/>
      <c r="AQ43" s="11"/>
    </row>
    <row r="44" spans="1:43" x14ac:dyDescent="0.3">
      <c r="D44" t="s">
        <v>28</v>
      </c>
      <c r="AH44" s="11"/>
      <c r="AI44" s="11" t="s">
        <v>57</v>
      </c>
      <c r="AJ44" s="11">
        <v>10</v>
      </c>
      <c r="AK44" s="11"/>
      <c r="AL44" s="11"/>
      <c r="AM44" s="11"/>
      <c r="AN44" s="11"/>
      <c r="AO44" s="11"/>
      <c r="AP44" s="11"/>
      <c r="AQ44" s="11"/>
    </row>
    <row r="45" spans="1:43" x14ac:dyDescent="0.3">
      <c r="AH45" s="11"/>
      <c r="AI45" s="11" t="s">
        <v>52</v>
      </c>
      <c r="AJ45" s="11">
        <v>2.5</v>
      </c>
      <c r="AK45" s="11"/>
      <c r="AL45" s="11"/>
      <c r="AM45" s="11"/>
      <c r="AN45" s="11"/>
      <c r="AO45" s="11"/>
      <c r="AP45" s="11"/>
      <c r="AQ45" s="11"/>
    </row>
    <row r="46" spans="1:43" x14ac:dyDescent="0.3">
      <c r="AH46" s="11"/>
      <c r="AI46" s="11" t="s">
        <v>49</v>
      </c>
      <c r="AJ46" s="11">
        <v>23</v>
      </c>
      <c r="AK46" s="11"/>
      <c r="AL46" s="11"/>
      <c r="AM46" s="11"/>
      <c r="AN46" s="11"/>
      <c r="AO46" s="11"/>
      <c r="AP46" s="11"/>
      <c r="AQ46" s="11"/>
    </row>
    <row r="47" spans="1:43" x14ac:dyDescent="0.3">
      <c r="AH47" s="11"/>
      <c r="AI47" s="11" t="s">
        <v>58</v>
      </c>
      <c r="AJ47" s="11">
        <v>2.5</v>
      </c>
      <c r="AK47" s="11"/>
      <c r="AL47" s="11"/>
      <c r="AM47" s="11"/>
      <c r="AN47" s="11"/>
      <c r="AO47" s="11"/>
      <c r="AP47" s="11"/>
      <c r="AQ47" s="11"/>
    </row>
    <row r="48" spans="1:43" x14ac:dyDescent="0.3">
      <c r="AH48" s="11"/>
      <c r="AI48" s="11" t="s">
        <v>59</v>
      </c>
      <c r="AJ48" s="11">
        <v>60</v>
      </c>
      <c r="AK48" s="11"/>
      <c r="AL48" s="11"/>
      <c r="AM48" s="11"/>
      <c r="AN48" s="11"/>
      <c r="AO48" s="11"/>
      <c r="AP48" s="11"/>
      <c r="AQ48" s="11"/>
    </row>
    <row r="49" spans="10:43" x14ac:dyDescent="0.3">
      <c r="J49" s="98">
        <f>8000000/16</f>
        <v>500000</v>
      </c>
      <c r="AH49" s="11"/>
      <c r="AI49" s="97" t="s">
        <v>60</v>
      </c>
      <c r="AJ49" s="97">
        <f>SUM(AJ44:AJ48)</f>
        <v>98</v>
      </c>
      <c r="AK49" s="11"/>
      <c r="AL49" s="11"/>
      <c r="AM49" s="11"/>
      <c r="AN49" s="11"/>
      <c r="AO49" s="11"/>
      <c r="AP49" s="11"/>
      <c r="AQ49" s="11"/>
    </row>
    <row r="50" spans="10:43" x14ac:dyDescent="0.3">
      <c r="AH50" s="11"/>
      <c r="AI50" s="97" t="s">
        <v>51</v>
      </c>
      <c r="AJ50" s="97">
        <f>100-AJ49</f>
        <v>2</v>
      </c>
      <c r="AK50" s="11"/>
      <c r="AL50" s="11"/>
      <c r="AM50" s="11"/>
      <c r="AN50" s="11"/>
      <c r="AO50" s="11"/>
      <c r="AP50" s="11"/>
      <c r="AQ50" s="11"/>
    </row>
    <row r="51" spans="10:43" x14ac:dyDescent="0.3">
      <c r="AH51" s="11"/>
      <c r="AI51" s="11"/>
      <c r="AJ51" s="11"/>
      <c r="AK51" s="11"/>
      <c r="AL51" s="11"/>
      <c r="AM51" s="11"/>
      <c r="AN51" s="11"/>
      <c r="AO51" s="11"/>
      <c r="AP51" s="11"/>
      <c r="AQ51" s="11"/>
    </row>
    <row r="52" spans="10:43" x14ac:dyDescent="0.3">
      <c r="AH52" s="11"/>
      <c r="AI52" s="11"/>
      <c r="AJ52" s="11"/>
      <c r="AK52" s="11"/>
      <c r="AL52" s="11"/>
      <c r="AM52" s="11"/>
      <c r="AN52" s="11"/>
      <c r="AO52" s="11"/>
      <c r="AP52" s="11"/>
      <c r="AQ52" s="11"/>
    </row>
    <row r="53" spans="10:43" x14ac:dyDescent="0.3">
      <c r="AH53" s="11"/>
      <c r="AI53" s="11"/>
      <c r="AJ53" s="11"/>
      <c r="AK53" s="11"/>
      <c r="AL53" s="11"/>
      <c r="AM53" s="11"/>
      <c r="AN53" s="11"/>
      <c r="AO53" s="11"/>
      <c r="AP53" s="11"/>
      <c r="AQ53" s="11"/>
    </row>
    <row r="54" spans="10:43" x14ac:dyDescent="0.3">
      <c r="AH54" s="11"/>
      <c r="AI54" s="11"/>
      <c r="AJ54" s="11"/>
      <c r="AK54" s="11"/>
      <c r="AL54" s="11"/>
      <c r="AM54" s="11"/>
      <c r="AN54" s="11"/>
      <c r="AO54" s="11"/>
      <c r="AP54" s="11"/>
      <c r="AQ54" s="11"/>
    </row>
  </sheetData>
  <phoneticPr fontId="1" type="noConversion"/>
  <conditionalFormatting sqref="K39">
    <cfRule type="cellIs" dxfId="4" priority="9" operator="greaterThan">
      <formula>K38</formula>
    </cfRule>
  </conditionalFormatting>
  <conditionalFormatting sqref="O39">
    <cfRule type="cellIs" dxfId="3" priority="8" operator="greaterThan">
      <formula>O38</formula>
    </cfRule>
  </conditionalFormatting>
  <conditionalFormatting sqref="S39">
    <cfRule type="cellIs" dxfId="2" priority="7" operator="greaterThan">
      <formula>S38</formula>
    </cfRule>
  </conditionalFormatting>
  <conditionalFormatting sqref="W39">
    <cfRule type="cellIs" dxfId="1" priority="6" operator="greaterThan">
      <formula>W38</formula>
    </cfRule>
  </conditionalFormatting>
  <conditionalFormatting sqref="AA39 AE39">
    <cfRule type="cellIs" dxfId="0" priority="5" operator="greaterThan">
      <formula>AA38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3DD23-3818-4C21-9E1A-215A78C582D2}">
  <dimension ref="A2:V42"/>
  <sheetViews>
    <sheetView topLeftCell="A20" workbookViewId="0">
      <selection activeCell="B45" sqref="B45"/>
    </sheetView>
  </sheetViews>
  <sheetFormatPr defaultRowHeight="16.5" x14ac:dyDescent="0.3"/>
  <cols>
    <col min="1" max="1" width="9.875" bestFit="1" customWidth="1"/>
    <col min="2" max="2" width="6.5" style="155" bestFit="1" customWidth="1"/>
    <col min="3" max="3" width="5.75" style="155" bestFit="1" customWidth="1"/>
    <col min="4" max="4" width="6.5" style="155" bestFit="1" customWidth="1"/>
    <col min="5" max="5" width="5.5" style="155" bestFit="1" customWidth="1"/>
    <col min="6" max="6" width="5.625" style="155" bestFit="1" customWidth="1"/>
    <col min="7" max="8" width="5.5" style="155" bestFit="1" customWidth="1"/>
    <col min="9" max="9" width="5.625" style="155" bestFit="1" customWidth="1"/>
    <col min="10" max="10" width="5.5" style="155" bestFit="1" customWidth="1"/>
    <col min="11" max="11" width="4.5" style="155" bestFit="1" customWidth="1"/>
    <col min="12" max="12" width="5.625" style="155" bestFit="1" customWidth="1"/>
    <col min="13" max="13" width="5.25" style="155" bestFit="1" customWidth="1"/>
    <col min="14" max="14" width="4.5" style="155" bestFit="1" customWidth="1"/>
    <col min="15" max="15" width="5.625" style="155" bestFit="1" customWidth="1"/>
    <col min="16" max="16" width="5.25" style="155" bestFit="1" customWidth="1"/>
    <col min="17" max="17" width="4.5" style="155" bestFit="1" customWidth="1"/>
    <col min="18" max="18" width="5.625" style="155" bestFit="1" customWidth="1"/>
    <col min="19" max="19" width="5.25" style="155" bestFit="1" customWidth="1"/>
    <col min="20" max="20" width="4.5" style="155" bestFit="1" customWidth="1"/>
    <col min="21" max="21" width="5.625" style="155" bestFit="1" customWidth="1"/>
    <col min="22" max="22" width="5.25" style="155" bestFit="1" customWidth="1"/>
  </cols>
  <sheetData>
    <row r="2" spans="1:22" x14ac:dyDescent="0.3">
      <c r="B2" s="151" t="s">
        <v>62</v>
      </c>
      <c r="C2" s="151"/>
      <c r="D2" s="151"/>
      <c r="E2" s="151" t="s">
        <v>63</v>
      </c>
      <c r="F2" s="151"/>
      <c r="G2" s="151"/>
      <c r="H2" s="151" t="s">
        <v>64</v>
      </c>
      <c r="I2" s="151"/>
      <c r="J2" s="151"/>
      <c r="K2" s="151" t="s">
        <v>65</v>
      </c>
      <c r="L2" s="151"/>
      <c r="M2" s="151"/>
      <c r="N2" s="151" t="s">
        <v>66</v>
      </c>
      <c r="O2" s="151"/>
      <c r="P2" s="151"/>
      <c r="Q2" s="151" t="s">
        <v>68</v>
      </c>
      <c r="R2" s="151"/>
      <c r="S2" s="151"/>
      <c r="T2" s="151" t="s">
        <v>67</v>
      </c>
      <c r="U2" s="151"/>
      <c r="V2" s="151"/>
    </row>
    <row r="3" spans="1:22" x14ac:dyDescent="0.3">
      <c r="B3" s="152" t="s">
        <v>70</v>
      </c>
      <c r="C3" s="153" t="s">
        <v>71</v>
      </c>
      <c r="D3" s="153" t="s">
        <v>72</v>
      </c>
      <c r="E3" s="152" t="s">
        <v>70</v>
      </c>
      <c r="F3" s="153" t="s">
        <v>71</v>
      </c>
      <c r="G3" s="153" t="s">
        <v>72</v>
      </c>
      <c r="H3" s="152" t="s">
        <v>70</v>
      </c>
      <c r="I3" s="153" t="s">
        <v>71</v>
      </c>
      <c r="J3" s="153" t="s">
        <v>72</v>
      </c>
      <c r="K3" s="152" t="s">
        <v>70</v>
      </c>
      <c r="L3" s="153" t="s">
        <v>71</v>
      </c>
      <c r="M3" s="153" t="s">
        <v>72</v>
      </c>
      <c r="N3" s="152" t="s">
        <v>70</v>
      </c>
      <c r="O3" s="153" t="s">
        <v>71</v>
      </c>
      <c r="P3" s="153" t="s">
        <v>72</v>
      </c>
      <c r="Q3" s="152" t="s">
        <v>70</v>
      </c>
      <c r="R3" s="153" t="s">
        <v>71</v>
      </c>
      <c r="S3" s="153" t="s">
        <v>72</v>
      </c>
      <c r="T3" s="152" t="s">
        <v>70</v>
      </c>
      <c r="U3" s="153" t="s">
        <v>71</v>
      </c>
      <c r="V3" s="153" t="s">
        <v>72</v>
      </c>
    </row>
    <row r="4" spans="1:22" x14ac:dyDescent="0.3">
      <c r="A4" s="154">
        <v>44896</v>
      </c>
      <c r="C4" s="155">
        <v>0.5</v>
      </c>
      <c r="F4" s="155">
        <v>0.5</v>
      </c>
      <c r="L4" s="155">
        <v>0.5</v>
      </c>
      <c r="O4" s="155">
        <v>0.5</v>
      </c>
    </row>
    <row r="5" spans="1:22" x14ac:dyDescent="0.3">
      <c r="A5" s="154">
        <v>44897</v>
      </c>
      <c r="E5" s="155">
        <v>14</v>
      </c>
    </row>
    <row r="6" spans="1:22" x14ac:dyDescent="0.3">
      <c r="A6" s="156">
        <v>44898</v>
      </c>
      <c r="B6" s="155">
        <v>14.3</v>
      </c>
    </row>
    <row r="7" spans="1:22" x14ac:dyDescent="0.3">
      <c r="A7" s="157">
        <v>44899</v>
      </c>
    </row>
    <row r="8" spans="1:22" x14ac:dyDescent="0.3">
      <c r="A8" s="154">
        <v>44900</v>
      </c>
      <c r="C8" s="155">
        <v>1</v>
      </c>
      <c r="H8" s="155">
        <v>8.3000000000000007</v>
      </c>
      <c r="U8" s="155">
        <v>1</v>
      </c>
    </row>
    <row r="9" spans="1:22" x14ac:dyDescent="0.3">
      <c r="A9" s="154">
        <v>44901</v>
      </c>
      <c r="C9" s="155">
        <v>0.5</v>
      </c>
      <c r="F9" s="155">
        <v>0.5</v>
      </c>
      <c r="L9" s="155">
        <v>0.5</v>
      </c>
    </row>
    <row r="10" spans="1:22" x14ac:dyDescent="0.3">
      <c r="A10" s="154">
        <v>44902</v>
      </c>
    </row>
    <row r="11" spans="1:22" x14ac:dyDescent="0.3">
      <c r="A11" s="154">
        <v>44903</v>
      </c>
      <c r="B11" s="155">
        <v>19.600000000000001</v>
      </c>
    </row>
    <row r="12" spans="1:22" x14ac:dyDescent="0.3">
      <c r="A12" s="154">
        <v>44904</v>
      </c>
      <c r="B12" s="155">
        <v>7.7</v>
      </c>
      <c r="C12" s="155">
        <v>1</v>
      </c>
      <c r="D12" s="155">
        <v>3</v>
      </c>
      <c r="F12" s="155">
        <v>1</v>
      </c>
      <c r="G12" s="155">
        <v>1</v>
      </c>
      <c r="I12" s="155">
        <v>1</v>
      </c>
      <c r="L12" s="155">
        <v>1</v>
      </c>
      <c r="R12" s="155">
        <v>1</v>
      </c>
    </row>
    <row r="13" spans="1:22" x14ac:dyDescent="0.3">
      <c r="A13" s="156">
        <v>44905</v>
      </c>
    </row>
    <row r="14" spans="1:22" x14ac:dyDescent="0.3">
      <c r="A14" s="157">
        <v>44906</v>
      </c>
    </row>
    <row r="15" spans="1:22" x14ac:dyDescent="0.3">
      <c r="A15" s="154">
        <v>44907</v>
      </c>
      <c r="H15" s="155">
        <v>9</v>
      </c>
    </row>
    <row r="16" spans="1:22" x14ac:dyDescent="0.3">
      <c r="A16" s="154">
        <v>44908</v>
      </c>
      <c r="H16" s="155">
        <v>10</v>
      </c>
    </row>
    <row r="17" spans="1:21" x14ac:dyDescent="0.3">
      <c r="A17" s="154">
        <v>44909</v>
      </c>
      <c r="B17" s="155">
        <v>9</v>
      </c>
      <c r="I17" s="155">
        <v>1</v>
      </c>
      <c r="O17" s="155">
        <v>1</v>
      </c>
      <c r="U17" s="155">
        <v>1</v>
      </c>
    </row>
    <row r="18" spans="1:21" x14ac:dyDescent="0.3">
      <c r="A18" s="154">
        <v>44910</v>
      </c>
      <c r="F18" s="155">
        <v>0.5</v>
      </c>
      <c r="I18" s="155">
        <v>0.5</v>
      </c>
      <c r="L18" s="155">
        <v>0.5</v>
      </c>
    </row>
    <row r="19" spans="1:21" x14ac:dyDescent="0.3">
      <c r="A19" s="154">
        <v>44911</v>
      </c>
      <c r="B19" s="155">
        <v>13.5</v>
      </c>
    </row>
    <row r="20" spans="1:21" x14ac:dyDescent="0.3">
      <c r="A20" s="156">
        <v>44912</v>
      </c>
    </row>
    <row r="21" spans="1:21" x14ac:dyDescent="0.3">
      <c r="A21" s="157">
        <v>44913</v>
      </c>
    </row>
    <row r="22" spans="1:21" x14ac:dyDescent="0.3">
      <c r="A22" s="154">
        <v>44914</v>
      </c>
      <c r="B22" s="155">
        <v>7.6</v>
      </c>
    </row>
    <row r="23" spans="1:21" x14ac:dyDescent="0.3">
      <c r="A23" s="154">
        <v>44915</v>
      </c>
      <c r="C23" s="155">
        <v>3</v>
      </c>
      <c r="F23" s="155">
        <v>1</v>
      </c>
      <c r="H23" s="155">
        <v>8.9</v>
      </c>
      <c r="I23" s="155">
        <v>1</v>
      </c>
      <c r="L23" s="155">
        <v>2</v>
      </c>
    </row>
    <row r="24" spans="1:21" x14ac:dyDescent="0.3">
      <c r="A24" s="154">
        <v>44916</v>
      </c>
      <c r="B24" s="155">
        <v>14</v>
      </c>
    </row>
    <row r="25" spans="1:21" x14ac:dyDescent="0.3">
      <c r="A25" s="154">
        <v>44917</v>
      </c>
      <c r="B25" s="155">
        <v>6.2</v>
      </c>
      <c r="C25" s="155">
        <v>0.5</v>
      </c>
      <c r="E25" s="155">
        <v>9.6999999999999993</v>
      </c>
      <c r="I25" s="155">
        <v>0.5</v>
      </c>
      <c r="O25" s="155">
        <v>0.5</v>
      </c>
    </row>
    <row r="26" spans="1:21" x14ac:dyDescent="0.3">
      <c r="A26" s="154">
        <v>44918</v>
      </c>
      <c r="B26" s="155">
        <v>10.9</v>
      </c>
      <c r="C26" s="155">
        <v>3</v>
      </c>
      <c r="H26" s="155">
        <v>5.2</v>
      </c>
      <c r="I26" s="155">
        <v>2</v>
      </c>
      <c r="R26" s="155">
        <v>1</v>
      </c>
    </row>
    <row r="27" spans="1:21" x14ac:dyDescent="0.3">
      <c r="A27" s="156">
        <v>44919</v>
      </c>
    </row>
    <row r="28" spans="1:21" x14ac:dyDescent="0.3">
      <c r="A28" s="157">
        <v>44920</v>
      </c>
    </row>
    <row r="29" spans="1:21" x14ac:dyDescent="0.3">
      <c r="A29" s="154">
        <v>44921</v>
      </c>
      <c r="B29" s="155">
        <v>4.9000000000000004</v>
      </c>
    </row>
    <row r="30" spans="1:21" x14ac:dyDescent="0.3">
      <c r="A30" s="154">
        <v>44922</v>
      </c>
      <c r="L30" s="155">
        <v>1</v>
      </c>
      <c r="O30" s="155">
        <v>1</v>
      </c>
    </row>
    <row r="31" spans="1:21" x14ac:dyDescent="0.3">
      <c r="A31" s="154">
        <v>44923</v>
      </c>
      <c r="C31" s="155">
        <v>1</v>
      </c>
      <c r="F31" s="155">
        <v>1</v>
      </c>
      <c r="O31" s="155">
        <v>1</v>
      </c>
    </row>
    <row r="32" spans="1:21" x14ac:dyDescent="0.3">
      <c r="A32" s="154">
        <v>44924</v>
      </c>
      <c r="E32" s="155">
        <v>4.5</v>
      </c>
    </row>
    <row r="33" spans="1:22" x14ac:dyDescent="0.3">
      <c r="A33" s="154">
        <v>44925</v>
      </c>
      <c r="B33" s="155">
        <v>4.5</v>
      </c>
      <c r="E33" s="155">
        <v>11.6</v>
      </c>
      <c r="Q33" s="155">
        <v>3.8</v>
      </c>
    </row>
    <row r="34" spans="1:22" x14ac:dyDescent="0.3">
      <c r="A34" s="156">
        <v>44926</v>
      </c>
    </row>
    <row r="35" spans="1:22" x14ac:dyDescent="0.3">
      <c r="B35" s="159"/>
      <c r="C35" s="160"/>
      <c r="D35" s="160" t="s">
        <v>62</v>
      </c>
      <c r="E35" s="159"/>
      <c r="F35" s="160"/>
      <c r="G35" s="161" t="s">
        <v>63</v>
      </c>
      <c r="H35" s="159"/>
      <c r="I35" s="160"/>
      <c r="J35" s="161" t="s">
        <v>64</v>
      </c>
      <c r="K35" s="159"/>
      <c r="L35" s="160"/>
      <c r="M35" s="161" t="s">
        <v>65</v>
      </c>
      <c r="N35" s="159"/>
      <c r="O35" s="160"/>
      <c r="P35" s="161" t="s">
        <v>66</v>
      </c>
      <c r="Q35" s="159"/>
      <c r="R35" s="160"/>
      <c r="S35" s="161" t="s">
        <v>68</v>
      </c>
      <c r="T35" s="159"/>
      <c r="U35" s="160"/>
      <c r="V35" s="161" t="s">
        <v>67</v>
      </c>
    </row>
    <row r="36" spans="1:22" x14ac:dyDescent="0.3">
      <c r="B36" s="162">
        <f>SUM(B4:B34)</f>
        <v>112.20000000000002</v>
      </c>
      <c r="C36" s="162">
        <f t="shared" ref="C36:U36" si="0">SUM(C4:C34)</f>
        <v>10.5</v>
      </c>
      <c r="D36" s="162">
        <f t="shared" si="0"/>
        <v>3</v>
      </c>
      <c r="E36" s="162">
        <f t="shared" si="0"/>
        <v>39.799999999999997</v>
      </c>
      <c r="F36" s="162">
        <f t="shared" si="0"/>
        <v>4.5</v>
      </c>
      <c r="G36" s="162">
        <f t="shared" si="0"/>
        <v>1</v>
      </c>
      <c r="H36" s="162">
        <f t="shared" si="0"/>
        <v>41.400000000000006</v>
      </c>
      <c r="I36" s="162">
        <f t="shared" si="0"/>
        <v>6</v>
      </c>
      <c r="J36" s="162">
        <f t="shared" si="0"/>
        <v>0</v>
      </c>
      <c r="K36" s="162">
        <f t="shared" si="0"/>
        <v>0</v>
      </c>
      <c r="L36" s="162">
        <f t="shared" si="0"/>
        <v>5.5</v>
      </c>
      <c r="M36" s="162">
        <f t="shared" si="0"/>
        <v>0</v>
      </c>
      <c r="N36" s="162">
        <f t="shared" si="0"/>
        <v>0</v>
      </c>
      <c r="O36" s="162">
        <f t="shared" si="0"/>
        <v>4</v>
      </c>
      <c r="P36" s="162">
        <f t="shared" si="0"/>
        <v>0</v>
      </c>
      <c r="Q36" s="162">
        <f t="shared" si="0"/>
        <v>3.8</v>
      </c>
      <c r="R36" s="162">
        <f t="shared" si="0"/>
        <v>2</v>
      </c>
      <c r="S36" s="162">
        <f t="shared" si="0"/>
        <v>0</v>
      </c>
      <c r="T36" s="162">
        <f t="shared" si="0"/>
        <v>0</v>
      </c>
      <c r="U36" s="162">
        <f t="shared" si="0"/>
        <v>2</v>
      </c>
      <c r="V36" s="162">
        <f>SUM(V4:V34)</f>
        <v>0</v>
      </c>
    </row>
    <row r="37" spans="1:22" x14ac:dyDescent="0.3">
      <c r="B37" s="159"/>
      <c r="C37" s="160"/>
      <c r="D37" s="161">
        <f>B36+C36</f>
        <v>122.70000000000002</v>
      </c>
      <c r="E37" s="159"/>
      <c r="F37" s="160"/>
      <c r="G37" s="161">
        <f>E36+F36</f>
        <v>44.3</v>
      </c>
      <c r="H37" s="159"/>
      <c r="I37" s="160"/>
      <c r="J37" s="161">
        <f>H36+I36</f>
        <v>47.400000000000006</v>
      </c>
      <c r="K37" s="159"/>
      <c r="L37" s="160"/>
      <c r="M37" s="161">
        <f>K36+L36</f>
        <v>5.5</v>
      </c>
      <c r="N37" s="159"/>
      <c r="O37" s="160"/>
      <c r="P37" s="161">
        <f>N36+O36</f>
        <v>4</v>
      </c>
      <c r="Q37" s="159"/>
      <c r="R37" s="160"/>
      <c r="S37" s="161">
        <f>Q36+R36</f>
        <v>5.8</v>
      </c>
      <c r="T37" s="159"/>
      <c r="U37" s="160"/>
      <c r="V37" s="161">
        <f>T36+U36</f>
        <v>2</v>
      </c>
    </row>
    <row r="40" spans="1:22" x14ac:dyDescent="0.3">
      <c r="B40" s="155">
        <v>18</v>
      </c>
    </row>
    <row r="42" spans="1:22" x14ac:dyDescent="0.3">
      <c r="A42" s="98">
        <f>G42</f>
        <v>2317000</v>
      </c>
      <c r="G42" s="158">
        <f>(D37+G37+J37+M37+P37+S37+V37)*10000</f>
        <v>2317000</v>
      </c>
      <c r="H42" s="158"/>
      <c r="I42" s="158"/>
      <c r="J42" s="158"/>
      <c r="K42" s="158"/>
      <c r="L42" s="158"/>
      <c r="M42" s="158"/>
      <c r="N42" s="158"/>
    </row>
  </sheetData>
  <mergeCells count="8">
    <mergeCell ref="G42:N42"/>
    <mergeCell ref="T2:V2"/>
    <mergeCell ref="B2:D2"/>
    <mergeCell ref="E2:G2"/>
    <mergeCell ref="H2:J2"/>
    <mergeCell ref="K2:M2"/>
    <mergeCell ref="N2:P2"/>
    <mergeCell ref="Q2:S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2DC68-035A-463F-A619-27F6768DBDD3}">
  <sheetPr>
    <tabColor indexed="50"/>
    <pageSetUpPr fitToPage="1"/>
  </sheetPr>
  <dimension ref="A1:Y40"/>
  <sheetViews>
    <sheetView zoomScale="85" zoomScaleNormal="85" workbookViewId="0">
      <pane xSplit="2" ySplit="2" topLeftCell="G5" activePane="bottomRight" state="frozenSplit"/>
      <selection pane="topRight"/>
      <selection pane="bottomLeft"/>
      <selection pane="bottomRight" activeCell="K35" sqref="K35"/>
    </sheetView>
  </sheetViews>
  <sheetFormatPr defaultRowHeight="16.5" x14ac:dyDescent="0.3"/>
  <cols>
    <col min="1" max="1" width="13.25" style="15" customWidth="1"/>
    <col min="2" max="2" width="5" style="15" customWidth="1"/>
    <col min="3" max="3" width="8.25" style="15" customWidth="1"/>
    <col min="4" max="7" width="7" style="15" customWidth="1"/>
    <col min="8" max="9" width="12" style="15" customWidth="1"/>
    <col min="10" max="10" width="8.625" style="15" customWidth="1"/>
    <col min="11" max="11" width="22.375" style="15" customWidth="1"/>
    <col min="12" max="12" width="17.75" style="15" customWidth="1"/>
    <col min="13" max="13" width="19.75" style="15" customWidth="1"/>
    <col min="14" max="14" width="19" style="15" bestFit="1" customWidth="1"/>
    <col min="15" max="21" width="18.375" style="15" customWidth="1"/>
    <col min="22" max="22" width="9" style="14" customWidth="1"/>
    <col min="23" max="23" width="11.25" style="14" customWidth="1"/>
    <col min="24" max="24" width="10" style="14" customWidth="1"/>
    <col min="25" max="25" width="9.375" style="14" customWidth="1"/>
    <col min="26" max="16384" width="9" style="15"/>
  </cols>
  <sheetData>
    <row r="1" spans="1:25" ht="19.5" thickBot="1" x14ac:dyDescent="0.3">
      <c r="A1" s="12" t="s">
        <v>11</v>
      </c>
      <c r="B1" s="147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9"/>
      <c r="O1" s="13"/>
      <c r="P1" s="163" t="s">
        <v>12</v>
      </c>
      <c r="Q1" s="164"/>
      <c r="R1" s="164"/>
      <c r="S1" s="164"/>
      <c r="T1" s="164"/>
      <c r="U1" s="164"/>
    </row>
    <row r="2" spans="1:25" s="19" customFormat="1" ht="17.25" thickBot="1" x14ac:dyDescent="0.35">
      <c r="A2" s="165" t="s">
        <v>6</v>
      </c>
      <c r="B2" s="165" t="s">
        <v>73</v>
      </c>
      <c r="C2" s="165" t="s">
        <v>74</v>
      </c>
      <c r="D2" s="165" t="s">
        <v>75</v>
      </c>
      <c r="E2" s="166" t="s">
        <v>7</v>
      </c>
      <c r="F2" s="167" t="s">
        <v>76</v>
      </c>
      <c r="G2" s="168" t="s">
        <v>77</v>
      </c>
      <c r="H2" s="169" t="s">
        <v>78</v>
      </c>
      <c r="I2" s="169" t="s">
        <v>79</v>
      </c>
      <c r="J2" s="169" t="s">
        <v>80</v>
      </c>
      <c r="K2" s="170" t="s">
        <v>81</v>
      </c>
      <c r="L2" s="171" t="s">
        <v>82</v>
      </c>
      <c r="M2" s="172" t="s">
        <v>83</v>
      </c>
      <c r="N2" s="173"/>
      <c r="O2" s="174" t="s">
        <v>84</v>
      </c>
      <c r="P2" s="175" t="s">
        <v>85</v>
      </c>
      <c r="Q2" s="16" t="s">
        <v>13</v>
      </c>
      <c r="R2" s="16" t="s">
        <v>14</v>
      </c>
      <c r="S2" s="16" t="s">
        <v>15</v>
      </c>
      <c r="T2" s="16" t="s">
        <v>16</v>
      </c>
      <c r="U2" s="17" t="s">
        <v>17</v>
      </c>
      <c r="V2" s="18"/>
      <c r="W2" s="18"/>
      <c r="X2" s="18"/>
      <c r="Y2" s="18"/>
    </row>
    <row r="3" spans="1:25" s="26" customFormat="1" ht="17.25" thickBot="1" x14ac:dyDescent="0.35">
      <c r="A3" s="176">
        <v>44896</v>
      </c>
      <c r="B3" s="177" t="s">
        <v>86</v>
      </c>
      <c r="C3" s="178">
        <v>2</v>
      </c>
      <c r="D3" s="179">
        <v>2</v>
      </c>
      <c r="E3" s="180">
        <v>0</v>
      </c>
      <c r="F3" s="180">
        <v>1</v>
      </c>
      <c r="G3" s="180"/>
      <c r="H3" s="178">
        <f t="shared" ref="H3:H27" si="0">IF(C3=0,"0",K3/C3)</f>
        <v>755000</v>
      </c>
      <c r="I3" s="178">
        <f t="shared" ref="I3:I33" si="1">IF(J3=0,"0",K3/J3)</f>
        <v>377500</v>
      </c>
      <c r="J3" s="178">
        <v>4</v>
      </c>
      <c r="K3" s="181">
        <v>1510000</v>
      </c>
      <c r="L3" s="181"/>
      <c r="M3" s="182"/>
      <c r="N3" s="183">
        <v>55700</v>
      </c>
      <c r="O3" s="184"/>
      <c r="P3" s="185">
        <v>9</v>
      </c>
      <c r="Q3" s="20"/>
      <c r="R3" s="20"/>
      <c r="S3" s="21"/>
      <c r="T3" s="22"/>
      <c r="U3" s="23"/>
      <c r="V3" s="24"/>
      <c r="W3" s="24"/>
      <c r="X3" s="24"/>
      <c r="Y3" s="25"/>
    </row>
    <row r="4" spans="1:25" ht="17.25" thickBot="1" x14ac:dyDescent="0.35">
      <c r="A4" s="176">
        <v>44897</v>
      </c>
      <c r="B4" s="177" t="s">
        <v>87</v>
      </c>
      <c r="C4" s="178">
        <v>4</v>
      </c>
      <c r="D4" s="179">
        <v>3</v>
      </c>
      <c r="E4" s="180">
        <v>1</v>
      </c>
      <c r="F4" s="180">
        <v>1</v>
      </c>
      <c r="G4" s="180"/>
      <c r="H4" s="178">
        <f t="shared" si="0"/>
        <v>680000</v>
      </c>
      <c r="I4" s="178">
        <f t="shared" si="1"/>
        <v>680000</v>
      </c>
      <c r="J4" s="186">
        <v>4</v>
      </c>
      <c r="K4" s="187">
        <v>2720000</v>
      </c>
      <c r="L4" s="181"/>
      <c r="M4" s="182"/>
      <c r="N4" s="183"/>
      <c r="O4" s="184"/>
      <c r="P4" s="185">
        <v>8</v>
      </c>
      <c r="Q4" s="27"/>
      <c r="R4" s="27"/>
      <c r="S4" s="28"/>
      <c r="T4" s="29"/>
      <c r="U4" s="30"/>
      <c r="W4" s="31"/>
      <c r="X4" s="31"/>
    </row>
    <row r="5" spans="1:25" ht="17.25" thickBot="1" x14ac:dyDescent="0.35">
      <c r="A5" s="176">
        <v>44898</v>
      </c>
      <c r="B5" s="188" t="s">
        <v>88</v>
      </c>
      <c r="C5" s="189">
        <v>1</v>
      </c>
      <c r="D5" s="190">
        <v>0</v>
      </c>
      <c r="E5" s="191">
        <v>1</v>
      </c>
      <c r="F5" s="191">
        <v>1</v>
      </c>
      <c r="G5" s="191"/>
      <c r="H5" s="189">
        <f t="shared" si="0"/>
        <v>1050000</v>
      </c>
      <c r="I5" s="189">
        <f t="shared" si="1"/>
        <v>525000</v>
      </c>
      <c r="J5" s="189">
        <v>2</v>
      </c>
      <c r="K5" s="192">
        <v>1050000</v>
      </c>
      <c r="L5" s="192"/>
      <c r="M5" s="193"/>
      <c r="N5" s="194"/>
      <c r="O5" s="184"/>
      <c r="P5" s="195">
        <v>11</v>
      </c>
      <c r="Q5" s="32"/>
      <c r="R5" s="32"/>
      <c r="S5" s="28"/>
      <c r="T5" s="29"/>
      <c r="U5" s="30"/>
      <c r="W5" s="31"/>
    </row>
    <row r="6" spans="1:25" s="39" customFormat="1" ht="17.25" thickBot="1" x14ac:dyDescent="0.35">
      <c r="A6" s="176">
        <v>44899</v>
      </c>
      <c r="B6" s="196" t="s">
        <v>89</v>
      </c>
      <c r="C6" s="197"/>
      <c r="D6" s="198"/>
      <c r="E6" s="199"/>
      <c r="F6" s="199"/>
      <c r="G6" s="199"/>
      <c r="H6" s="197" t="str">
        <f t="shared" si="0"/>
        <v>0</v>
      </c>
      <c r="I6" s="197" t="str">
        <f t="shared" si="1"/>
        <v>0</v>
      </c>
      <c r="J6" s="197"/>
      <c r="K6" s="200"/>
      <c r="L6" s="201">
        <f>SUM(K3:K5)</f>
        <v>5280000</v>
      </c>
      <c r="M6" s="202"/>
      <c r="N6" s="203"/>
      <c r="O6" s="184"/>
      <c r="P6" s="175"/>
      <c r="Q6" s="33"/>
      <c r="R6" s="33"/>
      <c r="S6" s="34"/>
      <c r="T6" s="35"/>
      <c r="U6" s="36"/>
      <c r="V6" s="37"/>
      <c r="W6" s="38"/>
      <c r="X6" s="37"/>
      <c r="Y6" s="37"/>
    </row>
    <row r="7" spans="1:25" ht="17.25" thickBot="1" x14ac:dyDescent="0.35">
      <c r="A7" s="176">
        <v>44900</v>
      </c>
      <c r="B7" s="177" t="s">
        <v>90</v>
      </c>
      <c r="C7" s="178">
        <v>4</v>
      </c>
      <c r="D7" s="179">
        <v>3</v>
      </c>
      <c r="E7" s="180">
        <v>1</v>
      </c>
      <c r="F7" s="180">
        <v>0</v>
      </c>
      <c r="G7" s="180"/>
      <c r="H7" s="178">
        <f t="shared" si="0"/>
        <v>525000</v>
      </c>
      <c r="I7" s="178">
        <f t="shared" si="1"/>
        <v>420000</v>
      </c>
      <c r="J7" s="178">
        <v>5</v>
      </c>
      <c r="K7" s="181">
        <v>2100000</v>
      </c>
      <c r="L7" s="181"/>
      <c r="M7" s="182"/>
      <c r="N7" s="183">
        <v>176790</v>
      </c>
      <c r="O7" s="184"/>
      <c r="P7" s="175"/>
      <c r="Q7" s="40"/>
      <c r="R7" s="40"/>
      <c r="S7" s="41"/>
      <c r="T7" s="42"/>
      <c r="U7" s="30"/>
    </row>
    <row r="8" spans="1:25" ht="17.25" thickBot="1" x14ac:dyDescent="0.35">
      <c r="A8" s="176">
        <v>44901</v>
      </c>
      <c r="B8" s="177" t="s">
        <v>91</v>
      </c>
      <c r="C8" s="178">
        <v>2</v>
      </c>
      <c r="D8" s="179">
        <v>1</v>
      </c>
      <c r="E8" s="180">
        <v>1</v>
      </c>
      <c r="F8" s="180">
        <v>1</v>
      </c>
      <c r="G8" s="180"/>
      <c r="H8" s="178">
        <f t="shared" si="0"/>
        <v>505000</v>
      </c>
      <c r="I8" s="178">
        <f t="shared" si="1"/>
        <v>252500</v>
      </c>
      <c r="J8" s="186">
        <v>4</v>
      </c>
      <c r="K8" s="187">
        <v>1010000</v>
      </c>
      <c r="L8" s="181"/>
      <c r="M8" s="182"/>
      <c r="N8" s="183">
        <v>34000</v>
      </c>
      <c r="O8" s="184"/>
      <c r="P8" s="175"/>
      <c r="Q8" s="40"/>
      <c r="R8" s="40"/>
      <c r="S8" s="40"/>
      <c r="T8" s="42"/>
      <c r="U8" s="30"/>
      <c r="V8" s="43"/>
    </row>
    <row r="9" spans="1:25" s="45" customFormat="1" ht="17.25" thickBot="1" x14ac:dyDescent="0.35">
      <c r="A9" s="176">
        <v>44902</v>
      </c>
      <c r="B9" s="177" t="s">
        <v>92</v>
      </c>
      <c r="C9" s="178">
        <v>1</v>
      </c>
      <c r="D9" s="179">
        <v>1</v>
      </c>
      <c r="E9" s="180">
        <v>0</v>
      </c>
      <c r="F9" s="180">
        <v>0</v>
      </c>
      <c r="G9" s="180"/>
      <c r="H9" s="178">
        <f t="shared" si="0"/>
        <v>500000</v>
      </c>
      <c r="I9" s="178">
        <f t="shared" si="1"/>
        <v>100000</v>
      </c>
      <c r="J9" s="186">
        <v>5</v>
      </c>
      <c r="K9" s="187">
        <v>500000</v>
      </c>
      <c r="L9" s="181"/>
      <c r="M9" s="182"/>
      <c r="N9" s="183"/>
      <c r="O9" s="184"/>
      <c r="P9" s="175"/>
      <c r="Q9" s="32"/>
      <c r="R9" s="32"/>
      <c r="S9" s="28"/>
      <c r="T9" s="29"/>
      <c r="U9" s="30"/>
      <c r="V9" s="44"/>
      <c r="W9" s="44"/>
      <c r="X9" s="44"/>
      <c r="Y9" s="44"/>
    </row>
    <row r="10" spans="1:25" s="26" customFormat="1" ht="17.25" thickBot="1" x14ac:dyDescent="0.35">
      <c r="A10" s="176">
        <v>44903</v>
      </c>
      <c r="B10" s="177" t="s">
        <v>86</v>
      </c>
      <c r="C10" s="178">
        <v>2</v>
      </c>
      <c r="D10" s="179">
        <v>0</v>
      </c>
      <c r="E10" s="180">
        <v>2</v>
      </c>
      <c r="F10" s="180">
        <v>1</v>
      </c>
      <c r="G10" s="180"/>
      <c r="H10" s="178">
        <f t="shared" si="0"/>
        <v>1015000</v>
      </c>
      <c r="I10" s="178">
        <f t="shared" si="1"/>
        <v>406000</v>
      </c>
      <c r="J10" s="186">
        <v>5</v>
      </c>
      <c r="K10" s="187">
        <v>2030000</v>
      </c>
      <c r="L10" s="181"/>
      <c r="M10" s="182"/>
      <c r="N10" s="183"/>
      <c r="O10" s="184"/>
      <c r="P10" s="185"/>
      <c r="Q10" s="32"/>
      <c r="R10" s="32"/>
      <c r="S10" s="28"/>
      <c r="T10" s="29"/>
      <c r="U10" s="30"/>
      <c r="V10" s="25"/>
      <c r="W10" s="25"/>
      <c r="X10" s="25"/>
      <c r="Y10" s="25"/>
    </row>
    <row r="11" spans="1:25" ht="17.25" thickBot="1" x14ac:dyDescent="0.35">
      <c r="A11" s="176">
        <v>44904</v>
      </c>
      <c r="B11" s="177" t="s">
        <v>87</v>
      </c>
      <c r="C11" s="178">
        <v>4</v>
      </c>
      <c r="D11" s="179">
        <v>3</v>
      </c>
      <c r="E11" s="180">
        <v>1</v>
      </c>
      <c r="F11" s="180">
        <v>2</v>
      </c>
      <c r="G11" s="180"/>
      <c r="H11" s="178">
        <f t="shared" si="0"/>
        <v>895000</v>
      </c>
      <c r="I11" s="178">
        <f t="shared" si="1"/>
        <v>716000</v>
      </c>
      <c r="J11" s="178">
        <v>5</v>
      </c>
      <c r="K11" s="181">
        <v>3580000</v>
      </c>
      <c r="L11" s="181"/>
      <c r="M11" s="182"/>
      <c r="N11" s="183">
        <v>7800</v>
      </c>
      <c r="O11" s="184"/>
      <c r="P11" s="185"/>
      <c r="Q11" s="32"/>
      <c r="R11" s="32"/>
      <c r="S11" s="28"/>
      <c r="T11" s="29"/>
      <c r="U11" s="30"/>
    </row>
    <row r="12" spans="1:25" ht="17.25" thickBot="1" x14ac:dyDescent="0.35">
      <c r="A12" s="176">
        <v>44905</v>
      </c>
      <c r="B12" s="188" t="s">
        <v>88</v>
      </c>
      <c r="C12" s="189"/>
      <c r="D12" s="190"/>
      <c r="E12" s="191"/>
      <c r="F12" s="191"/>
      <c r="G12" s="191"/>
      <c r="H12" s="189" t="str">
        <f t="shared" si="0"/>
        <v>0</v>
      </c>
      <c r="I12" s="189" t="str">
        <f t="shared" si="1"/>
        <v>0</v>
      </c>
      <c r="J12" s="189"/>
      <c r="K12" s="192"/>
      <c r="L12" s="192"/>
      <c r="M12" s="193"/>
      <c r="N12" s="194"/>
      <c r="O12" s="184"/>
      <c r="P12" s="175"/>
      <c r="Q12" s="32"/>
      <c r="R12" s="32"/>
      <c r="S12" s="28"/>
      <c r="T12" s="29"/>
      <c r="U12" s="30"/>
      <c r="W12" s="31"/>
    </row>
    <row r="13" spans="1:25" ht="17.25" thickBot="1" x14ac:dyDescent="0.35">
      <c r="A13" s="176">
        <v>44906</v>
      </c>
      <c r="B13" s="196" t="s">
        <v>89</v>
      </c>
      <c r="C13" s="197"/>
      <c r="D13" s="199"/>
      <c r="E13" s="199"/>
      <c r="F13" s="199"/>
      <c r="G13" s="199"/>
      <c r="H13" s="197" t="str">
        <f t="shared" si="0"/>
        <v>0</v>
      </c>
      <c r="I13" s="197" t="str">
        <f t="shared" si="1"/>
        <v>0</v>
      </c>
      <c r="J13" s="197"/>
      <c r="K13" s="200"/>
      <c r="L13" s="201">
        <f>SUM(K7:K12)</f>
        <v>9220000</v>
      </c>
      <c r="M13" s="202"/>
      <c r="N13" s="203"/>
      <c r="O13" s="184"/>
      <c r="P13" s="175"/>
      <c r="Q13" s="40"/>
      <c r="R13" s="40"/>
      <c r="S13" s="41"/>
      <c r="T13" s="42"/>
      <c r="U13" s="30"/>
      <c r="W13" s="43"/>
    </row>
    <row r="14" spans="1:25" ht="17.25" thickBot="1" x14ac:dyDescent="0.35">
      <c r="A14" s="176">
        <v>44907</v>
      </c>
      <c r="B14" s="177" t="s">
        <v>90</v>
      </c>
      <c r="C14" s="178">
        <v>4</v>
      </c>
      <c r="D14" s="180">
        <v>3</v>
      </c>
      <c r="E14" s="180">
        <v>1</v>
      </c>
      <c r="F14" s="180">
        <v>2</v>
      </c>
      <c r="G14" s="180"/>
      <c r="H14" s="178">
        <f t="shared" si="0"/>
        <v>545000</v>
      </c>
      <c r="I14" s="178">
        <f t="shared" si="1"/>
        <v>545000</v>
      </c>
      <c r="J14" s="178">
        <v>4</v>
      </c>
      <c r="K14" s="181">
        <v>2180000</v>
      </c>
      <c r="L14" s="181"/>
      <c r="M14" s="182"/>
      <c r="N14" s="183"/>
      <c r="O14" s="184"/>
      <c r="P14" s="175"/>
      <c r="Q14" s="40"/>
      <c r="R14" s="40"/>
      <c r="S14" s="41"/>
      <c r="T14" s="42"/>
      <c r="U14" s="30"/>
      <c r="W14" s="43"/>
    </row>
    <row r="15" spans="1:25" ht="17.25" thickBot="1" x14ac:dyDescent="0.35">
      <c r="A15" s="176">
        <v>44908</v>
      </c>
      <c r="B15" s="177" t="s">
        <v>91</v>
      </c>
      <c r="C15" s="204">
        <v>2</v>
      </c>
      <c r="D15" s="180">
        <v>1</v>
      </c>
      <c r="E15" s="180">
        <v>1</v>
      </c>
      <c r="F15" s="180">
        <v>0</v>
      </c>
      <c r="G15" s="180"/>
      <c r="H15" s="178">
        <f t="shared" si="0"/>
        <v>710000</v>
      </c>
      <c r="I15" s="178">
        <f t="shared" si="1"/>
        <v>355000</v>
      </c>
      <c r="J15" s="178">
        <v>4</v>
      </c>
      <c r="K15" s="181">
        <v>1420000</v>
      </c>
      <c r="L15" s="181"/>
      <c r="M15" s="182"/>
      <c r="N15" s="183">
        <v>115500</v>
      </c>
      <c r="O15" s="184"/>
      <c r="P15" s="175"/>
      <c r="Q15" s="40"/>
      <c r="R15" s="40"/>
      <c r="S15" s="40"/>
      <c r="T15" s="42"/>
      <c r="U15" s="30"/>
      <c r="V15" s="43"/>
    </row>
    <row r="16" spans="1:25" s="45" customFormat="1" ht="16.5" customHeight="1" thickBot="1" x14ac:dyDescent="0.35">
      <c r="A16" s="176">
        <v>44909</v>
      </c>
      <c r="B16" s="177" t="s">
        <v>21</v>
      </c>
      <c r="C16" s="204">
        <v>3</v>
      </c>
      <c r="D16" s="180">
        <v>2</v>
      </c>
      <c r="E16" s="180">
        <v>1</v>
      </c>
      <c r="F16" s="180">
        <v>2</v>
      </c>
      <c r="G16" s="180"/>
      <c r="H16" s="178">
        <f t="shared" si="0"/>
        <v>706666.66666666663</v>
      </c>
      <c r="I16" s="178">
        <f t="shared" si="1"/>
        <v>530000</v>
      </c>
      <c r="J16" s="178">
        <v>4</v>
      </c>
      <c r="K16" s="181">
        <v>2120000</v>
      </c>
      <c r="L16" s="181"/>
      <c r="M16" s="182"/>
      <c r="N16" s="183"/>
      <c r="O16" s="184"/>
      <c r="P16" s="175"/>
      <c r="Q16" s="32"/>
      <c r="R16" s="32"/>
      <c r="S16" s="28"/>
      <c r="T16" s="29"/>
      <c r="U16" s="30"/>
      <c r="V16" s="44"/>
      <c r="W16" s="44"/>
      <c r="X16" s="44"/>
      <c r="Y16" s="44"/>
    </row>
    <row r="17" spans="1:25" s="26" customFormat="1" ht="17.25" thickBot="1" x14ac:dyDescent="0.35">
      <c r="A17" s="176">
        <v>44910</v>
      </c>
      <c r="B17" s="177" t="s">
        <v>22</v>
      </c>
      <c r="C17" s="204">
        <v>2</v>
      </c>
      <c r="D17" s="180">
        <v>2</v>
      </c>
      <c r="E17" s="180">
        <v>0</v>
      </c>
      <c r="F17" s="180">
        <v>1</v>
      </c>
      <c r="G17" s="180"/>
      <c r="H17" s="178">
        <f t="shared" si="0"/>
        <v>1025000</v>
      </c>
      <c r="I17" s="178">
        <f t="shared" si="1"/>
        <v>683333.33333333337</v>
      </c>
      <c r="J17" s="178">
        <v>3</v>
      </c>
      <c r="K17" s="181">
        <v>2050000</v>
      </c>
      <c r="L17" s="181"/>
      <c r="M17" s="182"/>
      <c r="N17" s="183">
        <v>30840</v>
      </c>
      <c r="O17" s="184"/>
      <c r="P17" s="175"/>
      <c r="Q17" s="32"/>
      <c r="R17" s="32"/>
      <c r="S17" s="28"/>
      <c r="T17" s="29"/>
      <c r="U17" s="30"/>
      <c r="V17" s="25"/>
      <c r="W17" s="25"/>
      <c r="X17" s="25"/>
      <c r="Y17" s="25"/>
    </row>
    <row r="18" spans="1:25" ht="17.25" thickBot="1" x14ac:dyDescent="0.35">
      <c r="A18" s="176">
        <v>44911</v>
      </c>
      <c r="B18" s="177" t="s">
        <v>18</v>
      </c>
      <c r="C18" s="204">
        <v>2</v>
      </c>
      <c r="D18" s="180">
        <v>0</v>
      </c>
      <c r="E18" s="180">
        <v>2</v>
      </c>
      <c r="F18" s="180">
        <v>1</v>
      </c>
      <c r="G18" s="180"/>
      <c r="H18" s="178">
        <f t="shared" si="0"/>
        <v>755000</v>
      </c>
      <c r="I18" s="178">
        <f t="shared" si="1"/>
        <v>302000</v>
      </c>
      <c r="J18" s="178">
        <v>5</v>
      </c>
      <c r="K18" s="181">
        <v>1510000</v>
      </c>
      <c r="L18" s="181"/>
      <c r="M18" s="182"/>
      <c r="N18" s="183"/>
      <c r="O18" s="184"/>
      <c r="P18" s="175"/>
      <c r="Q18" s="32"/>
      <c r="R18" s="32"/>
      <c r="S18" s="28"/>
      <c r="T18" s="29"/>
      <c r="U18" s="30"/>
    </row>
    <row r="19" spans="1:25" ht="17.25" thickBot="1" x14ac:dyDescent="0.35">
      <c r="A19" s="176">
        <v>44912</v>
      </c>
      <c r="B19" s="188" t="s">
        <v>88</v>
      </c>
      <c r="C19" s="189"/>
      <c r="D19" s="190"/>
      <c r="E19" s="191"/>
      <c r="F19" s="191"/>
      <c r="G19" s="191"/>
      <c r="H19" s="189" t="str">
        <f t="shared" si="0"/>
        <v>0</v>
      </c>
      <c r="I19" s="189" t="str">
        <f t="shared" si="1"/>
        <v>0</v>
      </c>
      <c r="J19" s="189"/>
      <c r="K19" s="192"/>
      <c r="L19" s="192"/>
      <c r="M19" s="193"/>
      <c r="N19" s="194"/>
      <c r="O19" s="184"/>
      <c r="P19" s="175"/>
      <c r="Q19" s="32"/>
      <c r="R19" s="32"/>
      <c r="S19" s="28"/>
      <c r="T19" s="29"/>
      <c r="U19" s="30"/>
      <c r="W19" s="31"/>
    </row>
    <row r="20" spans="1:25" ht="17.25" thickBot="1" x14ac:dyDescent="0.35">
      <c r="A20" s="176">
        <v>44913</v>
      </c>
      <c r="B20" s="196" t="s">
        <v>89</v>
      </c>
      <c r="C20" s="197"/>
      <c r="D20" s="199"/>
      <c r="E20" s="199"/>
      <c r="F20" s="199"/>
      <c r="G20" s="199"/>
      <c r="H20" s="197" t="str">
        <f t="shared" si="0"/>
        <v>0</v>
      </c>
      <c r="I20" s="197" t="str">
        <f t="shared" si="1"/>
        <v>0</v>
      </c>
      <c r="J20" s="197"/>
      <c r="K20" s="200"/>
      <c r="L20" s="201">
        <f>SUM(K14:K19)</f>
        <v>9280000</v>
      </c>
      <c r="M20" s="202"/>
      <c r="N20" s="203"/>
      <c r="O20" s="184"/>
      <c r="P20" s="175"/>
      <c r="Q20" s="40"/>
      <c r="R20" s="40"/>
      <c r="S20" s="41"/>
      <c r="T20" s="42"/>
      <c r="U20" s="30"/>
      <c r="W20" s="43"/>
    </row>
    <row r="21" spans="1:25" ht="17.25" thickBot="1" x14ac:dyDescent="0.35">
      <c r="A21" s="176">
        <v>44914</v>
      </c>
      <c r="B21" s="177" t="s">
        <v>19</v>
      </c>
      <c r="C21" s="204">
        <v>1</v>
      </c>
      <c r="D21" s="179">
        <v>0</v>
      </c>
      <c r="E21" s="180">
        <v>1</v>
      </c>
      <c r="F21" s="180">
        <v>1</v>
      </c>
      <c r="G21" s="180"/>
      <c r="H21" s="178">
        <f>IF(C21=0,"0",K21/C21)</f>
        <v>830000</v>
      </c>
      <c r="I21" s="178">
        <f>IF(J21=0,"0",K21/J21)</f>
        <v>830000</v>
      </c>
      <c r="J21" s="178">
        <v>1</v>
      </c>
      <c r="K21" s="181">
        <v>830000</v>
      </c>
      <c r="L21" s="181"/>
      <c r="M21" s="182"/>
      <c r="N21" s="205">
        <v>541950</v>
      </c>
      <c r="O21" s="184"/>
      <c r="P21" s="175"/>
      <c r="Q21" s="40"/>
      <c r="R21" s="40"/>
      <c r="S21" s="41"/>
      <c r="T21" s="42"/>
      <c r="U21" s="30"/>
    </row>
    <row r="22" spans="1:25" ht="17.25" thickBot="1" x14ac:dyDescent="0.35">
      <c r="A22" s="176">
        <v>44915</v>
      </c>
      <c r="B22" s="177" t="s">
        <v>20</v>
      </c>
      <c r="C22" s="204">
        <v>4</v>
      </c>
      <c r="D22" s="179">
        <v>3</v>
      </c>
      <c r="E22" s="180">
        <v>1</v>
      </c>
      <c r="F22" s="180">
        <v>3</v>
      </c>
      <c r="G22" s="180"/>
      <c r="H22" s="178">
        <f>IF(C22=0,"0",K22/C22)</f>
        <v>1002500</v>
      </c>
      <c r="I22" s="178">
        <f>IF(J22=0,"0",K22/J22)</f>
        <v>1002500</v>
      </c>
      <c r="J22" s="178">
        <v>4</v>
      </c>
      <c r="K22" s="181">
        <v>4010000</v>
      </c>
      <c r="L22" s="181"/>
      <c r="M22" s="182"/>
      <c r="N22" s="183">
        <v>75120</v>
      </c>
      <c r="O22" s="184"/>
      <c r="P22" s="175"/>
      <c r="Q22" s="40"/>
      <c r="R22" s="40"/>
      <c r="S22" s="40"/>
      <c r="T22" s="42"/>
      <c r="U22" s="30"/>
      <c r="V22" s="43"/>
    </row>
    <row r="23" spans="1:25" s="45" customFormat="1" ht="17.25" thickBot="1" x14ac:dyDescent="0.35">
      <c r="A23" s="176">
        <v>44916</v>
      </c>
      <c r="B23" s="206" t="s">
        <v>21</v>
      </c>
      <c r="C23" s="207">
        <v>2</v>
      </c>
      <c r="D23" s="208">
        <v>1</v>
      </c>
      <c r="E23" s="209">
        <v>1</v>
      </c>
      <c r="F23" s="209">
        <v>1</v>
      </c>
      <c r="G23" s="209"/>
      <c r="H23" s="186">
        <f t="shared" si="0"/>
        <v>985000</v>
      </c>
      <c r="I23" s="186">
        <f t="shared" si="1"/>
        <v>394000</v>
      </c>
      <c r="J23" s="186">
        <v>5</v>
      </c>
      <c r="K23" s="187">
        <v>1970000</v>
      </c>
      <c r="L23" s="187"/>
      <c r="M23" s="210"/>
      <c r="N23" s="211">
        <v>15300</v>
      </c>
      <c r="O23" s="212"/>
      <c r="P23" s="175"/>
      <c r="Q23" s="32"/>
      <c r="R23" s="32"/>
      <c r="S23" s="28"/>
      <c r="T23" s="29"/>
      <c r="U23" s="30"/>
      <c r="V23" s="44"/>
      <c r="W23" s="44"/>
      <c r="X23" s="44"/>
      <c r="Y23" s="44"/>
    </row>
    <row r="24" spans="1:25" s="26" customFormat="1" ht="17.25" thickBot="1" x14ac:dyDescent="0.35">
      <c r="A24" s="176">
        <v>44917</v>
      </c>
      <c r="B24" s="206" t="s">
        <v>22</v>
      </c>
      <c r="C24" s="207">
        <v>4</v>
      </c>
      <c r="D24" s="208">
        <v>2</v>
      </c>
      <c r="E24" s="209">
        <v>2</v>
      </c>
      <c r="F24" s="209">
        <v>2</v>
      </c>
      <c r="G24" s="209"/>
      <c r="H24" s="186">
        <f t="shared" si="0"/>
        <v>655000</v>
      </c>
      <c r="I24" s="186">
        <f t="shared" si="1"/>
        <v>655000</v>
      </c>
      <c r="J24" s="186">
        <v>4</v>
      </c>
      <c r="K24" s="187">
        <v>2620000</v>
      </c>
      <c r="L24" s="213">
        <f>SUM(K14:K23)</f>
        <v>16090000</v>
      </c>
      <c r="M24" s="210"/>
      <c r="N24" s="211"/>
      <c r="O24" s="212"/>
      <c r="P24" s="175"/>
      <c r="Q24" s="32"/>
      <c r="R24" s="32"/>
      <c r="S24" s="28"/>
      <c r="T24" s="29"/>
      <c r="U24" s="30"/>
      <c r="V24" s="25"/>
      <c r="W24" s="25"/>
      <c r="X24" s="25"/>
      <c r="Y24" s="25"/>
    </row>
    <row r="25" spans="1:25" ht="17.25" thickBot="1" x14ac:dyDescent="0.35">
      <c r="A25" s="176">
        <v>44918</v>
      </c>
      <c r="B25" s="177" t="s">
        <v>18</v>
      </c>
      <c r="C25" s="204">
        <v>4</v>
      </c>
      <c r="D25" s="179">
        <v>2</v>
      </c>
      <c r="E25" s="180">
        <v>2</v>
      </c>
      <c r="F25" s="180">
        <v>3</v>
      </c>
      <c r="G25" s="180"/>
      <c r="H25" s="178">
        <f t="shared" si="0"/>
        <v>1057500</v>
      </c>
      <c r="I25" s="178">
        <f t="shared" si="1"/>
        <v>1057500</v>
      </c>
      <c r="J25" s="178">
        <v>4</v>
      </c>
      <c r="K25" s="181">
        <v>4230000</v>
      </c>
      <c r="L25" s="181"/>
      <c r="M25" s="182"/>
      <c r="N25" s="214">
        <v>58540</v>
      </c>
      <c r="O25" s="215"/>
      <c r="P25" s="175"/>
      <c r="Q25" s="32"/>
      <c r="R25" s="32"/>
      <c r="S25" s="28"/>
      <c r="T25" s="46"/>
      <c r="U25" s="30"/>
    </row>
    <row r="26" spans="1:25" ht="17.25" thickBot="1" x14ac:dyDescent="0.35">
      <c r="A26" s="176">
        <v>44919</v>
      </c>
      <c r="B26" s="188" t="s">
        <v>88</v>
      </c>
      <c r="C26" s="189"/>
      <c r="D26" s="190"/>
      <c r="E26" s="191"/>
      <c r="F26" s="191"/>
      <c r="G26" s="191"/>
      <c r="H26" s="189" t="str">
        <f t="shared" si="0"/>
        <v>0</v>
      </c>
      <c r="I26" s="189" t="str">
        <f t="shared" si="1"/>
        <v>0</v>
      </c>
      <c r="J26" s="189"/>
      <c r="K26" s="192"/>
      <c r="L26" s="192"/>
      <c r="M26" s="193"/>
      <c r="N26" s="194"/>
      <c r="O26" s="184"/>
      <c r="P26" s="175"/>
      <c r="Q26" s="32"/>
      <c r="R26" s="32"/>
      <c r="S26" s="28"/>
      <c r="T26" s="29"/>
      <c r="U26" s="30"/>
      <c r="W26" s="31"/>
    </row>
    <row r="27" spans="1:25" ht="17.25" thickBot="1" x14ac:dyDescent="0.35">
      <c r="A27" s="176">
        <v>44920</v>
      </c>
      <c r="B27" s="196" t="s">
        <v>89</v>
      </c>
      <c r="C27" s="197"/>
      <c r="D27" s="199"/>
      <c r="E27" s="199"/>
      <c r="F27" s="199"/>
      <c r="G27" s="199"/>
      <c r="H27" s="197" t="str">
        <f t="shared" si="0"/>
        <v>0</v>
      </c>
      <c r="I27" s="197" t="str">
        <f t="shared" si="1"/>
        <v>0</v>
      </c>
      <c r="J27" s="197"/>
      <c r="K27" s="200"/>
      <c r="L27" s="201">
        <f>SUM(K21:K26)</f>
        <v>13660000</v>
      </c>
      <c r="M27" s="202"/>
      <c r="N27" s="203"/>
      <c r="O27" s="184"/>
      <c r="P27" s="175"/>
      <c r="Q27" s="40"/>
      <c r="R27" s="40"/>
      <c r="S27" s="41"/>
      <c r="T27" s="42"/>
      <c r="U27" s="30"/>
      <c r="W27" s="43"/>
    </row>
    <row r="28" spans="1:25" ht="17.25" thickBot="1" x14ac:dyDescent="0.35">
      <c r="A28" s="176">
        <v>44921</v>
      </c>
      <c r="B28" s="177" t="s">
        <v>19</v>
      </c>
      <c r="C28" s="216">
        <v>1</v>
      </c>
      <c r="D28" s="217">
        <v>0</v>
      </c>
      <c r="E28" s="218">
        <v>1</v>
      </c>
      <c r="F28" s="218">
        <v>0</v>
      </c>
      <c r="G28" s="218"/>
      <c r="H28" s="178">
        <v>0</v>
      </c>
      <c r="I28" s="178">
        <f t="shared" si="1"/>
        <v>320000</v>
      </c>
      <c r="J28" s="178">
        <v>2</v>
      </c>
      <c r="K28" s="187">
        <v>640000</v>
      </c>
      <c r="L28" s="181"/>
      <c r="M28" s="182"/>
      <c r="N28" s="219"/>
      <c r="O28" s="220"/>
      <c r="P28" s="175"/>
      <c r="Q28" s="40"/>
      <c r="R28" s="40"/>
      <c r="S28" s="41"/>
      <c r="T28" s="42"/>
      <c r="U28" s="30"/>
      <c r="W28" s="43"/>
    </row>
    <row r="29" spans="1:25" ht="17.25" thickBot="1" x14ac:dyDescent="0.35">
      <c r="A29" s="176">
        <v>44922</v>
      </c>
      <c r="B29" s="177" t="s">
        <v>20</v>
      </c>
      <c r="C29" s="204">
        <v>2</v>
      </c>
      <c r="D29" s="179">
        <v>2</v>
      </c>
      <c r="E29" s="180">
        <v>0</v>
      </c>
      <c r="F29" s="180">
        <v>1</v>
      </c>
      <c r="G29" s="180"/>
      <c r="H29" s="178">
        <f t="shared" ref="H29:H33" si="2">IF(C29=0,"0",K29/C29)</f>
        <v>570000</v>
      </c>
      <c r="I29" s="178">
        <f t="shared" si="1"/>
        <v>285000</v>
      </c>
      <c r="J29" s="178">
        <v>4</v>
      </c>
      <c r="K29" s="181">
        <v>1140000</v>
      </c>
      <c r="L29" s="181"/>
      <c r="M29" s="182"/>
      <c r="N29" s="219"/>
      <c r="O29" s="220"/>
      <c r="P29" s="175"/>
      <c r="Q29" s="40"/>
      <c r="R29" s="40"/>
      <c r="S29" s="40"/>
      <c r="T29" s="42"/>
      <c r="U29" s="30"/>
      <c r="V29" s="43"/>
    </row>
    <row r="30" spans="1:25" s="45" customFormat="1" ht="17.25" thickBot="1" x14ac:dyDescent="0.35">
      <c r="A30" s="176">
        <v>44923</v>
      </c>
      <c r="B30" s="206" t="s">
        <v>21</v>
      </c>
      <c r="C30" s="207">
        <v>2</v>
      </c>
      <c r="D30" s="208">
        <v>2</v>
      </c>
      <c r="E30" s="209">
        <v>0</v>
      </c>
      <c r="F30" s="209">
        <v>1</v>
      </c>
      <c r="G30" s="209"/>
      <c r="H30" s="186">
        <f t="shared" si="2"/>
        <v>905000</v>
      </c>
      <c r="I30" s="186">
        <f t="shared" si="1"/>
        <v>452500</v>
      </c>
      <c r="J30" s="186">
        <v>4</v>
      </c>
      <c r="K30" s="187">
        <v>1810000</v>
      </c>
      <c r="L30" s="187"/>
      <c r="M30" s="210"/>
      <c r="N30" s="221"/>
      <c r="O30" s="222"/>
      <c r="P30" s="175"/>
      <c r="Q30" s="32"/>
      <c r="R30" s="32"/>
      <c r="S30" s="28"/>
      <c r="T30" s="29"/>
      <c r="U30" s="30"/>
      <c r="V30" s="44"/>
      <c r="W30" s="44"/>
      <c r="X30" s="44"/>
      <c r="Y30" s="44"/>
    </row>
    <row r="31" spans="1:25" s="26" customFormat="1" ht="17.25" thickBot="1" x14ac:dyDescent="0.35">
      <c r="A31" s="176">
        <v>44924</v>
      </c>
      <c r="B31" s="206" t="s">
        <v>22</v>
      </c>
      <c r="C31" s="207">
        <v>3</v>
      </c>
      <c r="D31" s="208">
        <v>2</v>
      </c>
      <c r="E31" s="209">
        <v>1</v>
      </c>
      <c r="F31" s="209">
        <v>0</v>
      </c>
      <c r="G31" s="209"/>
      <c r="H31" s="186">
        <f t="shared" si="2"/>
        <v>540000</v>
      </c>
      <c r="I31" s="186">
        <f t="shared" si="1"/>
        <v>405000</v>
      </c>
      <c r="J31" s="186">
        <v>4</v>
      </c>
      <c r="K31" s="187">
        <v>1620000</v>
      </c>
      <c r="L31" s="213">
        <f>SUM(K25:K30)</f>
        <v>7820000</v>
      </c>
      <c r="M31" s="210"/>
      <c r="N31" s="221"/>
      <c r="O31" s="222"/>
      <c r="P31" s="175"/>
      <c r="Q31" s="40"/>
      <c r="R31" s="40"/>
      <c r="S31" s="41"/>
      <c r="T31" s="42"/>
      <c r="U31" s="30"/>
      <c r="V31" s="25"/>
      <c r="W31" s="47"/>
      <c r="X31" s="25"/>
      <c r="Y31" s="25"/>
    </row>
    <row r="32" spans="1:25" ht="17.25" thickBot="1" x14ac:dyDescent="0.35">
      <c r="A32" s="176">
        <v>44925</v>
      </c>
      <c r="B32" s="177" t="s">
        <v>18</v>
      </c>
      <c r="C32" s="204">
        <v>3</v>
      </c>
      <c r="D32" s="179">
        <v>1</v>
      </c>
      <c r="E32" s="180">
        <v>2</v>
      </c>
      <c r="F32" s="180">
        <v>1</v>
      </c>
      <c r="G32" s="180"/>
      <c r="H32" s="186">
        <f t="shared" si="2"/>
        <v>913333.33333333337</v>
      </c>
      <c r="I32" s="186">
        <f t="shared" si="1"/>
        <v>548000</v>
      </c>
      <c r="J32" s="178">
        <v>5</v>
      </c>
      <c r="K32" s="181">
        <v>2740000</v>
      </c>
      <c r="L32" s="181"/>
      <c r="M32" s="182"/>
      <c r="N32" s="219"/>
      <c r="O32" s="220"/>
      <c r="P32" s="175"/>
      <c r="Q32" s="40"/>
      <c r="R32" s="40"/>
      <c r="S32" s="41"/>
      <c r="T32" s="42"/>
      <c r="U32" s="30"/>
      <c r="W32" s="43"/>
    </row>
    <row r="33" spans="1:25" ht="17.25" thickBot="1" x14ac:dyDescent="0.35">
      <c r="A33" s="176">
        <v>44926</v>
      </c>
      <c r="B33" s="188" t="s">
        <v>88</v>
      </c>
      <c r="C33" s="189"/>
      <c r="D33" s="190"/>
      <c r="E33" s="191"/>
      <c r="F33" s="191"/>
      <c r="G33" s="191"/>
      <c r="H33" s="189" t="str">
        <f t="shared" si="2"/>
        <v>0</v>
      </c>
      <c r="I33" s="189" t="str">
        <f t="shared" si="1"/>
        <v>0</v>
      </c>
      <c r="J33" s="189"/>
      <c r="K33" s="192"/>
      <c r="L33" s="201">
        <f>SUM(K27:K32)</f>
        <v>7950000</v>
      </c>
      <c r="M33" s="193"/>
      <c r="N33" s="194"/>
      <c r="O33" s="220"/>
      <c r="P33" s="175"/>
      <c r="Q33" s="40"/>
      <c r="R33" s="40"/>
      <c r="S33" s="41"/>
      <c r="T33" s="42"/>
      <c r="U33" s="30"/>
    </row>
    <row r="34" spans="1:25" s="39" customFormat="1" ht="19.5" thickBot="1" x14ac:dyDescent="0.35">
      <c r="A34" s="223"/>
      <c r="B34" s="224"/>
      <c r="C34" s="225">
        <f>SUM(C3:C33)</f>
        <v>59</v>
      </c>
      <c r="D34" s="225">
        <f>SUM(D3:D33)</f>
        <v>36</v>
      </c>
      <c r="E34" s="226">
        <f>SUM(E3:E33)</f>
        <v>23</v>
      </c>
      <c r="F34" s="226">
        <f>SUM(F3:F33)</f>
        <v>26</v>
      </c>
      <c r="G34" s="226">
        <f>SUM(G3:G33)</f>
        <v>0</v>
      </c>
      <c r="H34" s="227">
        <f>AVERAGE(H3:H33)</f>
        <v>744565.21739130432</v>
      </c>
      <c r="I34" s="227">
        <f>AVERAGE(I3:I33)</f>
        <v>514862.31884057965</v>
      </c>
      <c r="J34" s="228">
        <f>AVERAGE(J3:J33)</f>
        <v>3.9565217391304346</v>
      </c>
      <c r="K34" s="229">
        <f>SUM(K3:K33)</f>
        <v>45390000</v>
      </c>
      <c r="L34" s="230"/>
      <c r="M34" s="231"/>
      <c r="N34" s="231">
        <f>SUM(N3:N33)-P34</f>
        <v>1111540</v>
      </c>
      <c r="O34" s="232">
        <f>SUM(O3:O27)</f>
        <v>0</v>
      </c>
      <c r="P34" s="175"/>
      <c r="Q34" s="48"/>
      <c r="R34" s="48"/>
      <c r="S34" s="49"/>
      <c r="T34" s="50"/>
      <c r="U34" s="51"/>
      <c r="V34" s="37"/>
      <c r="W34" s="37"/>
      <c r="X34" s="37"/>
      <c r="Y34" s="37"/>
    </row>
    <row r="35" spans="1:25" ht="19.5" thickBot="1" x14ac:dyDescent="0.2">
      <c r="A35" s="233"/>
      <c r="B35" s="234"/>
      <c r="C35" s="235">
        <f>C34/22</f>
        <v>2.6818181818181817</v>
      </c>
      <c r="D35" s="236">
        <f>D34/C34</f>
        <v>0.61016949152542377</v>
      </c>
      <c r="E35" s="237">
        <f>E34/C34</f>
        <v>0.38983050847457629</v>
      </c>
      <c r="F35" s="237">
        <f>F34/C34</f>
        <v>0.44067796610169491</v>
      </c>
      <c r="G35" s="237">
        <f>G34/C34</f>
        <v>0</v>
      </c>
      <c r="H35" s="238"/>
      <c r="I35" s="239"/>
      <c r="J35" s="239"/>
      <c r="K35" s="240">
        <f>AVERAGE(K3:K33)</f>
        <v>1973478.2608695652</v>
      </c>
      <c r="L35" s="240"/>
      <c r="M35" s="231"/>
      <c r="N35" s="241"/>
      <c r="O35" s="242"/>
      <c r="P35" s="175"/>
      <c r="Q35" s="52">
        <f t="shared" ref="M35:U35" si="3">SUM(Q3:Q33)</f>
        <v>0</v>
      </c>
      <c r="R35" s="52">
        <f t="shared" si="3"/>
        <v>0</v>
      </c>
      <c r="S35" s="52">
        <f t="shared" si="3"/>
        <v>0</v>
      </c>
      <c r="T35" s="52">
        <f t="shared" si="3"/>
        <v>0</v>
      </c>
      <c r="U35" s="53">
        <f t="shared" si="3"/>
        <v>0</v>
      </c>
    </row>
    <row r="36" spans="1:25" ht="25.5" customHeight="1" thickBot="1" x14ac:dyDescent="0.3">
      <c r="A36" s="54"/>
      <c r="B36" s="55"/>
      <c r="C36" s="56"/>
      <c r="D36" s="57">
        <f>D35/C35</f>
        <v>0.2275208273484631</v>
      </c>
      <c r="E36" s="57">
        <f>E35/C35</f>
        <v>0.14536052858374032</v>
      </c>
      <c r="F36" s="57">
        <f>F35/C35</f>
        <v>0.16432059752944556</v>
      </c>
      <c r="G36" s="57"/>
      <c r="H36" s="58">
        <v>55</v>
      </c>
      <c r="I36" s="59"/>
      <c r="J36" s="59"/>
      <c r="K36" s="60">
        <f>AVERAGE(K3:K33)</f>
        <v>1973478.2608695652</v>
      </c>
      <c r="L36" s="60"/>
      <c r="M36" s="61"/>
      <c r="N36" s="62"/>
      <c r="O36" s="63" t="s">
        <v>23</v>
      </c>
      <c r="P36" s="63" t="s">
        <v>24</v>
      </c>
      <c r="Q36" s="64" t="s">
        <v>13</v>
      </c>
      <c r="R36" s="64" t="s">
        <v>14</v>
      </c>
      <c r="S36" s="64" t="s">
        <v>15</v>
      </c>
      <c r="T36" s="64" t="s">
        <v>16</v>
      </c>
      <c r="U36" s="65" t="s">
        <v>17</v>
      </c>
    </row>
    <row r="37" spans="1:25" ht="26.25" customHeight="1" x14ac:dyDescent="0.3">
      <c r="A37" s="66" t="s">
        <v>25</v>
      </c>
      <c r="B37" s="67" t="s">
        <v>26</v>
      </c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8">
        <f>M35/K35</f>
        <v>0</v>
      </c>
      <c r="N37" s="69"/>
      <c r="O37" s="70">
        <f>O35/K35</f>
        <v>0</v>
      </c>
      <c r="P37" s="71">
        <f>P35/K35</f>
        <v>0</v>
      </c>
      <c r="Q37" s="72" t="e">
        <f>Q35/P35</f>
        <v>#DIV/0!</v>
      </c>
      <c r="R37" s="72" t="e">
        <f>R35/P35</f>
        <v>#DIV/0!</v>
      </c>
      <c r="S37" s="72" t="e">
        <f>S35/P35</f>
        <v>#DIV/0!</v>
      </c>
      <c r="T37" s="72" t="e">
        <f>T35/P35</f>
        <v>#DIV/0!</v>
      </c>
      <c r="U37" s="73" t="e">
        <f>U35/P35</f>
        <v>#DIV/0!</v>
      </c>
    </row>
    <row r="38" spans="1:25" ht="32.25" thickBot="1" x14ac:dyDescent="0.35">
      <c r="A38" s="74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6"/>
      <c r="N38" s="77"/>
      <c r="O38" s="78"/>
      <c r="P38" s="79"/>
      <c r="Q38" s="80"/>
      <c r="R38" s="80"/>
      <c r="S38" s="80"/>
      <c r="T38" s="80"/>
      <c r="U38" s="81"/>
    </row>
    <row r="40" spans="1:25" x14ac:dyDescent="0.3">
      <c r="J40" s="15">
        <v>59178000</v>
      </c>
    </row>
  </sheetData>
  <mergeCells count="2">
    <mergeCell ref="B1:N1"/>
    <mergeCell ref="P1:U1"/>
  </mergeCells>
  <phoneticPr fontId="1" type="noConversion"/>
  <pageMargins left="0.7" right="0.7" top="0.75" bottom="0.75" header="0.3" footer="0.3"/>
  <pageSetup paperSize="9" scale="37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CBCE3-3549-49F7-A14A-C8F64965B022}">
  <dimension ref="A1:B12"/>
  <sheetViews>
    <sheetView workbookViewId="0">
      <selection activeCell="B15" sqref="B15"/>
    </sheetView>
  </sheetViews>
  <sheetFormatPr defaultRowHeight="16.5" x14ac:dyDescent="0.3"/>
  <sheetData>
    <row r="1" spans="1:2" x14ac:dyDescent="0.3">
      <c r="A1" t="s">
        <v>31</v>
      </c>
      <c r="B1">
        <v>31</v>
      </c>
    </row>
    <row r="2" spans="1:2" x14ac:dyDescent="0.3">
      <c r="A2" t="s">
        <v>32</v>
      </c>
      <c r="B2">
        <v>28</v>
      </c>
    </row>
    <row r="3" spans="1:2" x14ac:dyDescent="0.3">
      <c r="A3" t="s">
        <v>33</v>
      </c>
      <c r="B3">
        <v>31</v>
      </c>
    </row>
    <row r="4" spans="1:2" x14ac:dyDescent="0.3">
      <c r="A4" t="s">
        <v>34</v>
      </c>
      <c r="B4">
        <v>30</v>
      </c>
    </row>
    <row r="5" spans="1:2" x14ac:dyDescent="0.3">
      <c r="A5" t="s">
        <v>35</v>
      </c>
      <c r="B5">
        <v>31</v>
      </c>
    </row>
    <row r="6" spans="1:2" x14ac:dyDescent="0.3">
      <c r="A6" t="s">
        <v>36</v>
      </c>
      <c r="B6">
        <v>30</v>
      </c>
    </row>
    <row r="7" spans="1:2" x14ac:dyDescent="0.3">
      <c r="A7" t="s">
        <v>37</v>
      </c>
      <c r="B7">
        <v>31</v>
      </c>
    </row>
    <row r="8" spans="1:2" x14ac:dyDescent="0.3">
      <c r="A8" t="s">
        <v>38</v>
      </c>
      <c r="B8">
        <v>31</v>
      </c>
    </row>
    <row r="9" spans="1:2" x14ac:dyDescent="0.3">
      <c r="A9" t="s">
        <v>39</v>
      </c>
      <c r="B9">
        <v>30</v>
      </c>
    </row>
    <row r="10" spans="1:2" x14ac:dyDescent="0.3">
      <c r="A10" t="s">
        <v>40</v>
      </c>
      <c r="B10">
        <v>31</v>
      </c>
    </row>
    <row r="11" spans="1:2" x14ac:dyDescent="0.3">
      <c r="A11" t="s">
        <v>41</v>
      </c>
      <c r="B11">
        <v>30</v>
      </c>
    </row>
    <row r="12" spans="1:2" x14ac:dyDescent="0.3">
      <c r="A12" t="s">
        <v>42</v>
      </c>
      <c r="B12">
        <v>31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1E255-4E15-4D21-BAEF-7343403F5ADF}">
  <dimension ref="A1:H10"/>
  <sheetViews>
    <sheetView workbookViewId="0">
      <selection activeCell="B3" sqref="B3:D3"/>
    </sheetView>
  </sheetViews>
  <sheetFormatPr defaultRowHeight="16.5" x14ac:dyDescent="0.3"/>
  <cols>
    <col min="1" max="1" width="12.125" bestFit="1" customWidth="1"/>
    <col min="2" max="4" width="11" bestFit="1" customWidth="1"/>
  </cols>
  <sheetData>
    <row r="1" spans="1:8" x14ac:dyDescent="0.3">
      <c r="A1" s="98">
        <v>345</v>
      </c>
      <c r="B1" s="98">
        <v>150</v>
      </c>
      <c r="C1" s="98">
        <v>110</v>
      </c>
      <c r="D1" s="98">
        <v>85</v>
      </c>
      <c r="E1" s="98"/>
      <c r="F1" s="98"/>
      <c r="G1" s="98"/>
      <c r="H1" s="98"/>
    </row>
    <row r="2" spans="1:8" x14ac:dyDescent="0.3">
      <c r="A2" s="98">
        <v>600000</v>
      </c>
      <c r="B2" s="98">
        <v>600001</v>
      </c>
      <c r="C2" s="98">
        <v>600002</v>
      </c>
      <c r="D2" s="98">
        <v>600003</v>
      </c>
      <c r="E2" s="98"/>
      <c r="F2" s="98"/>
      <c r="G2" s="98"/>
      <c r="H2" s="98"/>
    </row>
    <row r="3" spans="1:8" x14ac:dyDescent="0.3">
      <c r="A3" s="98">
        <f>A2*A1</f>
        <v>207000000</v>
      </c>
      <c r="B3" s="98">
        <f t="shared" ref="B3:D3" si="0">B2*B1</f>
        <v>90000150</v>
      </c>
      <c r="C3" s="98">
        <f t="shared" si="0"/>
        <v>66000220</v>
      </c>
      <c r="D3" s="98">
        <f t="shared" si="0"/>
        <v>51000255</v>
      </c>
      <c r="E3" s="98"/>
      <c r="F3" s="98"/>
      <c r="G3" s="98"/>
      <c r="H3" s="98"/>
    </row>
    <row r="4" spans="1:8" x14ac:dyDescent="0.3">
      <c r="A4" s="98"/>
      <c r="B4" s="98"/>
      <c r="C4" s="98"/>
      <c r="D4" s="98"/>
      <c r="E4" s="98"/>
      <c r="F4" s="98"/>
      <c r="G4" s="98"/>
      <c r="H4" s="98"/>
    </row>
    <row r="5" spans="1:8" x14ac:dyDescent="0.3">
      <c r="A5" s="98"/>
      <c r="B5" s="98"/>
      <c r="C5" s="98"/>
      <c r="D5" s="98"/>
      <c r="E5" s="98"/>
      <c r="F5" s="98"/>
      <c r="G5" s="98"/>
      <c r="H5" s="98"/>
    </row>
    <row r="6" spans="1:8" x14ac:dyDescent="0.3">
      <c r="A6" s="98"/>
      <c r="B6" s="98"/>
      <c r="C6" s="98"/>
      <c r="D6" s="98"/>
      <c r="E6" s="98"/>
      <c r="F6" s="98"/>
      <c r="G6" s="98"/>
      <c r="H6" s="98"/>
    </row>
    <row r="7" spans="1:8" x14ac:dyDescent="0.3">
      <c r="A7" s="98"/>
      <c r="B7" s="98"/>
      <c r="C7" s="98"/>
      <c r="D7" s="98"/>
      <c r="E7" s="98"/>
      <c r="F7" s="98"/>
      <c r="G7" s="98"/>
      <c r="H7" s="98"/>
    </row>
    <row r="8" spans="1:8" x14ac:dyDescent="0.3">
      <c r="A8" s="98"/>
      <c r="B8" s="98"/>
      <c r="C8" s="98"/>
      <c r="D8" s="98"/>
      <c r="E8" s="98"/>
      <c r="F8" s="98"/>
      <c r="G8" s="98"/>
      <c r="H8" s="98"/>
    </row>
    <row r="9" spans="1:8" x14ac:dyDescent="0.3">
      <c r="A9" s="98"/>
      <c r="B9" s="98"/>
      <c r="C9" s="98"/>
      <c r="D9" s="98"/>
      <c r="E9" s="98"/>
      <c r="F9" s="98"/>
      <c r="G9" s="98"/>
      <c r="H9" s="98"/>
    </row>
    <row r="10" spans="1:8" x14ac:dyDescent="0.3">
      <c r="A10" s="98"/>
      <c r="B10" s="98"/>
      <c r="C10" s="98"/>
      <c r="D10" s="98"/>
      <c r="E10" s="98"/>
      <c r="F10" s="98"/>
      <c r="G10" s="98"/>
      <c r="H10" s="9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출퇴근 및 급여</vt:lpstr>
      <vt:lpstr>메이드 인센</vt:lpstr>
      <vt:lpstr>주류장부</vt:lpstr>
      <vt:lpstr>달력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rladu</dc:creator>
  <cp:lastModifiedBy>rladu</cp:lastModifiedBy>
  <dcterms:created xsi:type="dcterms:W3CDTF">2023-01-05T11:17:08Z</dcterms:created>
  <dcterms:modified xsi:type="dcterms:W3CDTF">2023-01-08T08:31:17Z</dcterms:modified>
</cp:coreProperties>
</file>