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du\OneDrive\바탕 화면\DHY bar\마감자료\메이드\202302\"/>
    </mc:Choice>
  </mc:AlternateContent>
  <xr:revisionPtr revIDLastSave="0" documentId="13_ncr:1_{C357B36B-FB27-4286-B301-1969FC0A6AA2}" xr6:coauthVersionLast="47" xr6:coauthVersionMax="47" xr10:uidLastSave="{00000000-0000-0000-0000-000000000000}"/>
  <bookViews>
    <workbookView xWindow="-120" yWindow="-120" windowWidth="29040" windowHeight="15840" tabRatio="615" xr2:uid="{00000000-000D-0000-FFFF-FFFF00000000}"/>
  </bookViews>
  <sheets>
    <sheet name="보고서" sheetId="7" r:id="rId1"/>
    <sheet name="summary" sheetId="8" r:id="rId2"/>
    <sheet name="출퇴근 및 급여" sheetId="1" r:id="rId3"/>
    <sheet name="직원인센" sheetId="9" r:id="rId4"/>
    <sheet name="파트인센" sheetId="10" r:id="rId5"/>
    <sheet name="주류장부" sheetId="4" r:id="rId6"/>
    <sheet name="달력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T35" i="10" l="1"/>
  <c r="BR37" i="1"/>
  <c r="BU37" i="1" s="1"/>
  <c r="BN37" i="1"/>
  <c r="BQ37" i="1" s="1"/>
  <c r="BJ37" i="1"/>
  <c r="BM37" i="1" s="1"/>
  <c r="BF37" i="1"/>
  <c r="BI37" i="1" s="1"/>
  <c r="BB37" i="1"/>
  <c r="BE37" i="1" s="1"/>
  <c r="AX37" i="1"/>
  <c r="BA37" i="1" s="1"/>
  <c r="AT37" i="1"/>
  <c r="AW37" i="1" s="1"/>
  <c r="AP37" i="1"/>
  <c r="AS37" i="1" s="1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4" i="10"/>
  <c r="D20" i="7"/>
  <c r="D21" i="7"/>
  <c r="D22" i="7"/>
  <c r="B33" i="10"/>
  <c r="AC35" i="10"/>
  <c r="AB35" i="10"/>
  <c r="AA35" i="10"/>
  <c r="AA36" i="10" s="1"/>
  <c r="Z35" i="10"/>
  <c r="Y35" i="10"/>
  <c r="X35" i="10"/>
  <c r="W35" i="10"/>
  <c r="V35" i="10"/>
  <c r="U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AE35" i="10" l="1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C33" i="10"/>
  <c r="C36" i="10"/>
  <c r="J37" i="1" s="1"/>
  <c r="F36" i="10"/>
  <c r="R37" i="1" s="1"/>
  <c r="I36" i="10"/>
  <c r="AD37" i="1" s="1"/>
  <c r="L36" i="10"/>
  <c r="N37" i="1" s="1"/>
  <c r="O36" i="10"/>
  <c r="Z37" i="1" s="1"/>
  <c r="R36" i="10"/>
  <c r="V37" i="1" s="1"/>
  <c r="U36" i="10"/>
  <c r="AL37" i="1" s="1"/>
  <c r="X36" i="10"/>
  <c r="H19" i="7" l="1"/>
  <c r="AO37" i="1"/>
  <c r="H15" i="7"/>
  <c r="Y37" i="1"/>
  <c r="H16" i="7"/>
  <c r="AC37" i="1"/>
  <c r="H13" i="7"/>
  <c r="Q37" i="1"/>
  <c r="H17" i="7"/>
  <c r="AG37" i="1"/>
  <c r="H14" i="7"/>
  <c r="U37" i="1"/>
  <c r="H12" i="7"/>
  <c r="M37" i="1"/>
  <c r="K41" i="10"/>
  <c r="AH37" i="1"/>
  <c r="AE36" i="10"/>
  <c r="C34" i="10"/>
  <c r="AE33" i="10"/>
  <c r="AA34" i="10"/>
  <c r="X34" i="10"/>
  <c r="U34" i="10"/>
  <c r="R34" i="10"/>
  <c r="O34" i="10"/>
  <c r="L34" i="10"/>
  <c r="I34" i="10"/>
  <c r="F34" i="10"/>
  <c r="A41" i="10"/>
  <c r="H18" i="7" l="1"/>
  <c r="AK37" i="1"/>
  <c r="D12" i="7"/>
  <c r="AE34" i="10"/>
  <c r="D14" i="7"/>
  <c r="D17" i="7"/>
  <c r="D13" i="7"/>
  <c r="D16" i="7"/>
  <c r="D15" i="7"/>
  <c r="D19" i="7"/>
  <c r="D18" i="7"/>
  <c r="I37" i="1" l="1"/>
  <c r="G37" i="1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O35" i="4"/>
  <c r="N35" i="4"/>
  <c r="P5" i="4"/>
  <c r="P6" i="4" s="1"/>
  <c r="P7" i="4" s="1"/>
  <c r="P8" i="4" s="1"/>
  <c r="P9" i="4" s="1"/>
  <c r="P10" i="4" s="1"/>
  <c r="P11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L35" i="4"/>
  <c r="K35" i="4"/>
  <c r="J35" i="4"/>
  <c r="I35" i="4"/>
  <c r="X34" i="1" l="1"/>
  <c r="Y34" i="1" s="1"/>
  <c r="X33" i="1"/>
  <c r="Y33" i="1" s="1"/>
  <c r="X32" i="1"/>
  <c r="Y32" i="1" s="1"/>
  <c r="X31" i="1"/>
  <c r="Y31" i="1" s="1"/>
  <c r="X30" i="1"/>
  <c r="Y30" i="1" s="1"/>
  <c r="X29" i="1"/>
  <c r="Y29" i="1" s="1"/>
  <c r="X28" i="1"/>
  <c r="Y28" i="1" s="1"/>
  <c r="X27" i="1"/>
  <c r="Y27" i="1" s="1"/>
  <c r="X26" i="1"/>
  <c r="Y26" i="1" s="1"/>
  <c r="X25" i="1"/>
  <c r="Y25" i="1" s="1"/>
  <c r="X24" i="1"/>
  <c r="Y24" i="1" s="1"/>
  <c r="X23" i="1"/>
  <c r="Y23" i="1" s="1"/>
  <c r="X22" i="1"/>
  <c r="Y22" i="1" s="1"/>
  <c r="X21" i="1"/>
  <c r="Y21" i="1" s="1"/>
  <c r="X20" i="1"/>
  <c r="Y20" i="1" s="1"/>
  <c r="X19" i="1"/>
  <c r="Y19" i="1" s="1"/>
  <c r="X18" i="1"/>
  <c r="Y18" i="1" s="1"/>
  <c r="X17" i="1"/>
  <c r="Y17" i="1" s="1"/>
  <c r="X16" i="1"/>
  <c r="Y16" i="1" s="1"/>
  <c r="X15" i="1"/>
  <c r="Y15" i="1" s="1"/>
  <c r="X14" i="1"/>
  <c r="Y14" i="1" s="1"/>
  <c r="X13" i="1"/>
  <c r="Y13" i="1" s="1"/>
  <c r="X12" i="1"/>
  <c r="Y12" i="1" s="1"/>
  <c r="X11" i="1"/>
  <c r="Y11" i="1" s="1"/>
  <c r="X10" i="1"/>
  <c r="Y10" i="1" s="1"/>
  <c r="X9" i="1"/>
  <c r="Y9" i="1" s="1"/>
  <c r="X8" i="1"/>
  <c r="Y8" i="1" s="1"/>
  <c r="X7" i="1"/>
  <c r="Y7" i="1" s="1"/>
  <c r="X6" i="1"/>
  <c r="Y6" i="1" s="1"/>
  <c r="X5" i="1"/>
  <c r="Y5" i="1" s="1"/>
  <c r="X4" i="1"/>
  <c r="X35" i="1" l="1"/>
  <c r="Y36" i="1" s="1"/>
  <c r="Y4" i="1"/>
  <c r="M2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H35" i="1"/>
  <c r="I36" i="1"/>
  <c r="I38" i="1" l="1"/>
  <c r="I39" i="1" s="1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G4" i="4"/>
  <c r="F4" i="4"/>
  <c r="AN34" i="1" l="1"/>
  <c r="AO34" i="1" s="1"/>
  <c r="AN33" i="1"/>
  <c r="AO33" i="1" s="1"/>
  <c r="AN32" i="1"/>
  <c r="AO32" i="1" s="1"/>
  <c r="AN31" i="1"/>
  <c r="AO31" i="1" s="1"/>
  <c r="AN30" i="1"/>
  <c r="AO30" i="1" s="1"/>
  <c r="AN29" i="1"/>
  <c r="AO29" i="1" s="1"/>
  <c r="AN28" i="1"/>
  <c r="AO28" i="1" s="1"/>
  <c r="AN27" i="1"/>
  <c r="AO27" i="1" s="1"/>
  <c r="AN26" i="1"/>
  <c r="AO26" i="1" s="1"/>
  <c r="AN25" i="1"/>
  <c r="AO25" i="1" s="1"/>
  <c r="AN24" i="1"/>
  <c r="AO24" i="1" s="1"/>
  <c r="AN23" i="1"/>
  <c r="AO23" i="1" s="1"/>
  <c r="AN22" i="1"/>
  <c r="AO22" i="1" s="1"/>
  <c r="AN21" i="1"/>
  <c r="AO21" i="1" s="1"/>
  <c r="AN20" i="1"/>
  <c r="AO20" i="1" s="1"/>
  <c r="AN19" i="1"/>
  <c r="AO19" i="1" s="1"/>
  <c r="AN18" i="1"/>
  <c r="AO18" i="1" s="1"/>
  <c r="AN17" i="1"/>
  <c r="AO17" i="1" s="1"/>
  <c r="AN16" i="1"/>
  <c r="AO16" i="1" s="1"/>
  <c r="AN15" i="1"/>
  <c r="AO15" i="1" s="1"/>
  <c r="AN14" i="1"/>
  <c r="AO14" i="1" s="1"/>
  <c r="AN13" i="1"/>
  <c r="AO13" i="1" s="1"/>
  <c r="AN12" i="1"/>
  <c r="AO12" i="1" s="1"/>
  <c r="AN11" i="1"/>
  <c r="AO11" i="1" s="1"/>
  <c r="AN10" i="1"/>
  <c r="AO10" i="1" s="1"/>
  <c r="AN9" i="1"/>
  <c r="AO9" i="1" s="1"/>
  <c r="AN8" i="1"/>
  <c r="AO8" i="1" s="1"/>
  <c r="AN7" i="1"/>
  <c r="AO7" i="1" s="1"/>
  <c r="AN6" i="1"/>
  <c r="AO6" i="1" s="1"/>
  <c r="AN5" i="1"/>
  <c r="AO5" i="1" s="1"/>
  <c r="AN4" i="1"/>
  <c r="AO4" i="1" s="1"/>
  <c r="AN35" i="1" l="1"/>
  <c r="AO36" i="1" s="1"/>
  <c r="H10" i="7" l="1"/>
  <c r="G10" i="7"/>
  <c r="G9" i="7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4" i="9"/>
  <c r="F35" i="9" l="1"/>
  <c r="F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L4" i="9"/>
  <c r="D3" i="8" s="1"/>
  <c r="L6" i="9"/>
  <c r="D5" i="8" s="1"/>
  <c r="L7" i="9"/>
  <c r="D6" i="8" s="1"/>
  <c r="L8" i="9"/>
  <c r="D7" i="8" s="1"/>
  <c r="L9" i="9"/>
  <c r="D8" i="8" s="1"/>
  <c r="L10" i="9"/>
  <c r="D9" i="8" s="1"/>
  <c r="L11" i="9"/>
  <c r="D10" i="8" s="1"/>
  <c r="L12" i="9"/>
  <c r="D11" i="8" s="1"/>
  <c r="L13" i="9"/>
  <c r="D12" i="8" s="1"/>
  <c r="L14" i="9"/>
  <c r="D13" i="8" s="1"/>
  <c r="L15" i="9"/>
  <c r="D14" i="8" s="1"/>
  <c r="L16" i="9"/>
  <c r="D15" i="8" s="1"/>
  <c r="L17" i="9"/>
  <c r="D16" i="8" s="1"/>
  <c r="L18" i="9"/>
  <c r="D17" i="8" s="1"/>
  <c r="L19" i="9"/>
  <c r="D18" i="8" s="1"/>
  <c r="L20" i="9"/>
  <c r="D19" i="8" s="1"/>
  <c r="L21" i="9"/>
  <c r="D20" i="8" s="1"/>
  <c r="L22" i="9"/>
  <c r="D21" i="8" s="1"/>
  <c r="L23" i="9"/>
  <c r="D22" i="8" s="1"/>
  <c r="L24" i="9"/>
  <c r="D23" i="8" s="1"/>
  <c r="L25" i="9"/>
  <c r="D24" i="8" s="1"/>
  <c r="L26" i="9"/>
  <c r="D25" i="8" s="1"/>
  <c r="L27" i="9"/>
  <c r="D26" i="8" s="1"/>
  <c r="L28" i="9"/>
  <c r="D27" i="8" s="1"/>
  <c r="L29" i="9"/>
  <c r="D28" i="8" s="1"/>
  <c r="L30" i="9"/>
  <c r="D29" i="8" s="1"/>
  <c r="L31" i="9"/>
  <c r="D30" i="8" s="1"/>
  <c r="L32" i="9"/>
  <c r="D31" i="8" s="1"/>
  <c r="L33" i="9"/>
  <c r="D32" i="8" s="1"/>
  <c r="L34" i="9"/>
  <c r="D33" i="8" s="1"/>
  <c r="L5" i="9"/>
  <c r="D4" i="8" s="1"/>
  <c r="C35" i="9"/>
  <c r="O35" i="9"/>
  <c r="J35" i="9"/>
  <c r="H35" i="9"/>
  <c r="G35" i="9"/>
  <c r="E35" i="9"/>
  <c r="D35" i="9"/>
  <c r="B35" i="9"/>
  <c r="D34" i="8" l="1"/>
  <c r="L35" i="9"/>
  <c r="G36" i="1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G38" i="1" l="1"/>
  <c r="G39" i="1" s="1"/>
  <c r="B34" i="8"/>
  <c r="H25" i="7" s="1"/>
  <c r="AF34" i="1"/>
  <c r="AG34" i="1" s="1"/>
  <c r="AF33" i="1"/>
  <c r="AG33" i="1" s="1"/>
  <c r="AF32" i="1"/>
  <c r="AG32" i="1" s="1"/>
  <c r="AF31" i="1"/>
  <c r="AG31" i="1" s="1"/>
  <c r="AF30" i="1"/>
  <c r="AG30" i="1" s="1"/>
  <c r="AF29" i="1"/>
  <c r="AG29" i="1" s="1"/>
  <c r="AF28" i="1"/>
  <c r="AG28" i="1" s="1"/>
  <c r="AF27" i="1"/>
  <c r="AG27" i="1" s="1"/>
  <c r="AF26" i="1"/>
  <c r="AG26" i="1" s="1"/>
  <c r="AF25" i="1"/>
  <c r="AG25" i="1" s="1"/>
  <c r="AF24" i="1"/>
  <c r="AG24" i="1" s="1"/>
  <c r="AF23" i="1"/>
  <c r="AG23" i="1" s="1"/>
  <c r="AF22" i="1"/>
  <c r="AG22" i="1" s="1"/>
  <c r="AF21" i="1"/>
  <c r="AG21" i="1" s="1"/>
  <c r="AF20" i="1"/>
  <c r="AG20" i="1" s="1"/>
  <c r="AF19" i="1"/>
  <c r="AG19" i="1" s="1"/>
  <c r="AF18" i="1"/>
  <c r="AG18" i="1" s="1"/>
  <c r="AF17" i="1"/>
  <c r="AG17" i="1" s="1"/>
  <c r="AF16" i="1"/>
  <c r="AG16" i="1" s="1"/>
  <c r="AF15" i="1"/>
  <c r="AG15" i="1" s="1"/>
  <c r="AF14" i="1"/>
  <c r="AG14" i="1" s="1"/>
  <c r="AF13" i="1"/>
  <c r="AG13" i="1" s="1"/>
  <c r="AF12" i="1"/>
  <c r="AG12" i="1" s="1"/>
  <c r="AF11" i="1"/>
  <c r="AG11" i="1" s="1"/>
  <c r="AF10" i="1"/>
  <c r="AG10" i="1" s="1"/>
  <c r="AF9" i="1"/>
  <c r="AG9" i="1" s="1"/>
  <c r="AF8" i="1"/>
  <c r="AG8" i="1" s="1"/>
  <c r="AF7" i="1"/>
  <c r="AG7" i="1" s="1"/>
  <c r="AF6" i="1"/>
  <c r="AG6" i="1" s="1"/>
  <c r="AF5" i="1"/>
  <c r="AG5" i="1" s="1"/>
  <c r="AF4" i="1"/>
  <c r="AJ34" i="1"/>
  <c r="AK34" i="1" s="1"/>
  <c r="BH34" i="1"/>
  <c r="BI34" i="1" s="1"/>
  <c r="AJ33" i="1"/>
  <c r="AK33" i="1" s="1"/>
  <c r="BH33" i="1"/>
  <c r="BI33" i="1" s="1"/>
  <c r="AJ32" i="1"/>
  <c r="AK32" i="1" s="1"/>
  <c r="BH32" i="1"/>
  <c r="BI32" i="1" s="1"/>
  <c r="AJ31" i="1"/>
  <c r="AK31" i="1" s="1"/>
  <c r="BH31" i="1"/>
  <c r="BI31" i="1" s="1"/>
  <c r="AJ30" i="1"/>
  <c r="AK30" i="1" s="1"/>
  <c r="BH30" i="1"/>
  <c r="BI30" i="1" s="1"/>
  <c r="AJ29" i="1"/>
  <c r="AK29" i="1" s="1"/>
  <c r="BH29" i="1"/>
  <c r="BI29" i="1" s="1"/>
  <c r="AJ28" i="1"/>
  <c r="AK28" i="1" s="1"/>
  <c r="BH28" i="1"/>
  <c r="BI28" i="1" s="1"/>
  <c r="AJ27" i="1"/>
  <c r="AK27" i="1" s="1"/>
  <c r="BH27" i="1"/>
  <c r="BI27" i="1" s="1"/>
  <c r="AJ26" i="1"/>
  <c r="AK26" i="1" s="1"/>
  <c r="BH26" i="1"/>
  <c r="BI26" i="1" s="1"/>
  <c r="AJ25" i="1"/>
  <c r="AK25" i="1" s="1"/>
  <c r="BH25" i="1"/>
  <c r="BI25" i="1" s="1"/>
  <c r="AJ24" i="1"/>
  <c r="AK24" i="1" s="1"/>
  <c r="BH24" i="1"/>
  <c r="BI24" i="1" s="1"/>
  <c r="AJ23" i="1"/>
  <c r="AK23" i="1" s="1"/>
  <c r="BH23" i="1"/>
  <c r="BI23" i="1" s="1"/>
  <c r="AJ22" i="1"/>
  <c r="AK22" i="1" s="1"/>
  <c r="BH22" i="1"/>
  <c r="BI22" i="1" s="1"/>
  <c r="AJ21" i="1"/>
  <c r="AK21" i="1" s="1"/>
  <c r="BH21" i="1"/>
  <c r="BI21" i="1" s="1"/>
  <c r="AJ20" i="1"/>
  <c r="AK20" i="1" s="1"/>
  <c r="BH20" i="1"/>
  <c r="BI20" i="1" s="1"/>
  <c r="AJ19" i="1"/>
  <c r="AK19" i="1" s="1"/>
  <c r="BH19" i="1"/>
  <c r="BI19" i="1" s="1"/>
  <c r="AJ18" i="1"/>
  <c r="AK18" i="1" s="1"/>
  <c r="BH18" i="1"/>
  <c r="BI18" i="1" s="1"/>
  <c r="AJ17" i="1"/>
  <c r="AK17" i="1" s="1"/>
  <c r="BH17" i="1"/>
  <c r="BI17" i="1" s="1"/>
  <c r="AJ16" i="1"/>
  <c r="AK16" i="1" s="1"/>
  <c r="BH16" i="1"/>
  <c r="BI16" i="1" s="1"/>
  <c r="AJ15" i="1"/>
  <c r="AK15" i="1" s="1"/>
  <c r="BH15" i="1"/>
  <c r="BI15" i="1" s="1"/>
  <c r="AJ14" i="1"/>
  <c r="AK14" i="1" s="1"/>
  <c r="BH14" i="1"/>
  <c r="BI14" i="1" s="1"/>
  <c r="AJ13" i="1"/>
  <c r="AK13" i="1" s="1"/>
  <c r="BH13" i="1"/>
  <c r="BI13" i="1" s="1"/>
  <c r="AJ12" i="1"/>
  <c r="AK12" i="1" s="1"/>
  <c r="BH12" i="1"/>
  <c r="BI12" i="1" s="1"/>
  <c r="AJ11" i="1"/>
  <c r="AK11" i="1" s="1"/>
  <c r="BH11" i="1"/>
  <c r="BI11" i="1" s="1"/>
  <c r="AJ10" i="1"/>
  <c r="AK10" i="1" s="1"/>
  <c r="BH10" i="1"/>
  <c r="BI10" i="1" s="1"/>
  <c r="AJ9" i="1"/>
  <c r="AK9" i="1" s="1"/>
  <c r="BH9" i="1"/>
  <c r="BI9" i="1" s="1"/>
  <c r="AJ8" i="1"/>
  <c r="AK8" i="1" s="1"/>
  <c r="BH8" i="1"/>
  <c r="BI8" i="1" s="1"/>
  <c r="AJ7" i="1"/>
  <c r="AK7" i="1" s="1"/>
  <c r="BH7" i="1"/>
  <c r="BI7" i="1" s="1"/>
  <c r="AJ6" i="1"/>
  <c r="AK6" i="1" s="1"/>
  <c r="BH6" i="1"/>
  <c r="BI6" i="1" s="1"/>
  <c r="AJ5" i="1"/>
  <c r="AK5" i="1" s="1"/>
  <c r="BH5" i="1"/>
  <c r="BI5" i="1" s="1"/>
  <c r="AJ4" i="1"/>
  <c r="BH4" i="1"/>
  <c r="BD34" i="1"/>
  <c r="BE34" i="1" s="1"/>
  <c r="BD33" i="1"/>
  <c r="BE33" i="1" s="1"/>
  <c r="BD32" i="1"/>
  <c r="BE32" i="1" s="1"/>
  <c r="BD31" i="1"/>
  <c r="BE31" i="1" s="1"/>
  <c r="BD30" i="1"/>
  <c r="BE30" i="1" s="1"/>
  <c r="BD29" i="1"/>
  <c r="BE29" i="1" s="1"/>
  <c r="BD28" i="1"/>
  <c r="BE28" i="1" s="1"/>
  <c r="BD27" i="1"/>
  <c r="BE27" i="1" s="1"/>
  <c r="BD26" i="1"/>
  <c r="BE26" i="1" s="1"/>
  <c r="BD25" i="1"/>
  <c r="BE25" i="1" s="1"/>
  <c r="BD24" i="1"/>
  <c r="BE24" i="1" s="1"/>
  <c r="BD23" i="1"/>
  <c r="BE23" i="1" s="1"/>
  <c r="BD22" i="1"/>
  <c r="BE22" i="1" s="1"/>
  <c r="BD21" i="1"/>
  <c r="BE21" i="1" s="1"/>
  <c r="BD20" i="1"/>
  <c r="BE20" i="1" s="1"/>
  <c r="BD19" i="1"/>
  <c r="BE19" i="1" s="1"/>
  <c r="BD18" i="1"/>
  <c r="BE18" i="1" s="1"/>
  <c r="BD17" i="1"/>
  <c r="BE17" i="1" s="1"/>
  <c r="BD16" i="1"/>
  <c r="BE16" i="1" s="1"/>
  <c r="BD15" i="1"/>
  <c r="BE15" i="1" s="1"/>
  <c r="BD14" i="1"/>
  <c r="BE14" i="1" s="1"/>
  <c r="BD13" i="1"/>
  <c r="BE13" i="1" s="1"/>
  <c r="BD12" i="1"/>
  <c r="BE12" i="1" s="1"/>
  <c r="BD11" i="1"/>
  <c r="BE11" i="1" s="1"/>
  <c r="BD10" i="1"/>
  <c r="BE10" i="1" s="1"/>
  <c r="BD9" i="1"/>
  <c r="BE9" i="1" s="1"/>
  <c r="BD8" i="1"/>
  <c r="BE8" i="1" s="1"/>
  <c r="BD7" i="1"/>
  <c r="BE7" i="1" s="1"/>
  <c r="BD6" i="1"/>
  <c r="BE6" i="1" s="1"/>
  <c r="BD5" i="1"/>
  <c r="BE5" i="1" s="1"/>
  <c r="BD4" i="1"/>
  <c r="AF35" i="1" l="1"/>
  <c r="AG36" i="1" s="1"/>
  <c r="AG4" i="1"/>
  <c r="BH35" i="1"/>
  <c r="BI36" i="1" s="1"/>
  <c r="BI38" i="1" s="1"/>
  <c r="BI39" i="1" s="1"/>
  <c r="BI4" i="1"/>
  <c r="AJ35" i="1"/>
  <c r="AK36" i="1" s="1"/>
  <c r="AK4" i="1"/>
  <c r="BI40" i="1"/>
  <c r="BD35" i="1"/>
  <c r="BE36" i="1" s="1"/>
  <c r="BE38" i="1" s="1"/>
  <c r="BE39" i="1" s="1"/>
  <c r="BE4" i="1"/>
  <c r="BE40" i="1"/>
  <c r="AK40" i="1" l="1"/>
  <c r="AG40" i="1"/>
  <c r="AG38" i="1" l="1"/>
  <c r="AG39" i="1" s="1"/>
  <c r="AK38" i="1"/>
  <c r="AK39" i="1" s="1"/>
  <c r="BW35" i="1"/>
  <c r="M36" i="4"/>
  <c r="U35" i="4"/>
  <c r="T35" i="4"/>
  <c r="S35" i="4"/>
  <c r="M35" i="4"/>
  <c r="E35" i="4"/>
  <c r="D35" i="4"/>
  <c r="C35" i="4"/>
  <c r="B35" i="4"/>
  <c r="G35" i="4"/>
  <c r="F35" i="4"/>
  <c r="AO40" i="1" l="1"/>
  <c r="AO38" i="1"/>
  <c r="AO39" i="1" s="1"/>
  <c r="Y40" i="1"/>
  <c r="Y38" i="1"/>
  <c r="Y39" i="1" s="1"/>
  <c r="S37" i="4"/>
  <c r="T37" i="4"/>
  <c r="C36" i="4"/>
  <c r="D36" i="4"/>
  <c r="E36" i="4"/>
  <c r="U37" i="4"/>
  <c r="BT34" i="1" l="1"/>
  <c r="BU34" i="1" s="1"/>
  <c r="BT33" i="1"/>
  <c r="BU33" i="1" s="1"/>
  <c r="BT32" i="1"/>
  <c r="BU32" i="1" s="1"/>
  <c r="BT31" i="1"/>
  <c r="BU31" i="1" s="1"/>
  <c r="BT30" i="1"/>
  <c r="BU30" i="1" s="1"/>
  <c r="BT29" i="1"/>
  <c r="BU29" i="1" s="1"/>
  <c r="BT28" i="1"/>
  <c r="BU28" i="1" s="1"/>
  <c r="BT27" i="1"/>
  <c r="BU27" i="1" s="1"/>
  <c r="BT26" i="1"/>
  <c r="BU26" i="1" s="1"/>
  <c r="BT25" i="1"/>
  <c r="BU25" i="1" s="1"/>
  <c r="BT24" i="1"/>
  <c r="BU24" i="1" s="1"/>
  <c r="BT23" i="1"/>
  <c r="BU23" i="1" s="1"/>
  <c r="BT22" i="1"/>
  <c r="BU22" i="1" s="1"/>
  <c r="BT21" i="1"/>
  <c r="BU21" i="1" s="1"/>
  <c r="BT20" i="1"/>
  <c r="BU20" i="1" s="1"/>
  <c r="BT19" i="1"/>
  <c r="BU19" i="1" s="1"/>
  <c r="BT18" i="1"/>
  <c r="BU18" i="1" s="1"/>
  <c r="BT17" i="1"/>
  <c r="BU17" i="1" s="1"/>
  <c r="BT16" i="1"/>
  <c r="BU16" i="1" s="1"/>
  <c r="BT15" i="1"/>
  <c r="BU15" i="1" s="1"/>
  <c r="BT14" i="1"/>
  <c r="BU14" i="1" s="1"/>
  <c r="BT13" i="1"/>
  <c r="BU13" i="1" s="1"/>
  <c r="BT12" i="1"/>
  <c r="BU12" i="1" s="1"/>
  <c r="BT11" i="1"/>
  <c r="BU11" i="1" s="1"/>
  <c r="BT10" i="1"/>
  <c r="BU10" i="1" s="1"/>
  <c r="BT9" i="1"/>
  <c r="BU9" i="1" s="1"/>
  <c r="BT8" i="1"/>
  <c r="BU8" i="1" s="1"/>
  <c r="BT7" i="1"/>
  <c r="BU7" i="1" s="1"/>
  <c r="BT6" i="1"/>
  <c r="BU6" i="1" s="1"/>
  <c r="BT5" i="1"/>
  <c r="BU5" i="1" s="1"/>
  <c r="BT4" i="1"/>
  <c r="BT35" i="1" l="1"/>
  <c r="BU36" i="1" s="1"/>
  <c r="BU38" i="1" s="1"/>
  <c r="BU39" i="1" s="1"/>
  <c r="BU4" i="1"/>
  <c r="BU40" i="1"/>
  <c r="A4" i="1" l="1"/>
  <c r="A4" i="4" l="1"/>
  <c r="A4" i="9"/>
  <c r="A5" i="1"/>
  <c r="A3" i="8"/>
  <c r="E3" i="8" s="1"/>
  <c r="A5" i="4" l="1"/>
  <c r="A5" i="9"/>
  <c r="A6" i="1"/>
  <c r="A4" i="8"/>
  <c r="E4" i="8" s="1"/>
  <c r="A6" i="4" l="1"/>
  <c r="A6" i="9"/>
  <c r="A7" i="1"/>
  <c r="A5" i="8"/>
  <c r="E5" i="8" s="1"/>
  <c r="A3" i="1"/>
  <c r="G8" i="7"/>
  <c r="D35" i="1"/>
  <c r="G7" i="7" s="1"/>
  <c r="B35" i="1"/>
  <c r="G6" i="7" s="1"/>
  <c r="AS40" i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A7" i="4" l="1"/>
  <c r="A7" i="9"/>
  <c r="A8" i="1"/>
  <c r="A6" i="8"/>
  <c r="E6" i="8" s="1"/>
  <c r="BQ40" i="1"/>
  <c r="BM40" i="1"/>
  <c r="AC40" i="1"/>
  <c r="U40" i="1"/>
  <c r="BA40" i="1"/>
  <c r="AW40" i="1"/>
  <c r="Q40" i="1"/>
  <c r="M40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4" i="1"/>
  <c r="C36" i="1" s="1"/>
  <c r="A8" i="4" l="1"/>
  <c r="A8" i="9"/>
  <c r="A9" i="1"/>
  <c r="A7" i="8"/>
  <c r="E7" i="8" s="1"/>
  <c r="E36" i="1"/>
  <c r="E38" i="1" s="1"/>
  <c r="E39" i="1" l="1"/>
  <c r="A9" i="4"/>
  <c r="A9" i="9"/>
  <c r="A10" i="1"/>
  <c r="A8" i="8"/>
  <c r="E8" i="8" s="1"/>
  <c r="C38" i="1"/>
  <c r="C39" i="1" s="1"/>
  <c r="A10" i="4" l="1"/>
  <c r="A10" i="9"/>
  <c r="A11" i="1"/>
  <c r="A9" i="8"/>
  <c r="E9" i="8" s="1"/>
  <c r="BP34" i="1"/>
  <c r="BQ34" i="1" s="1"/>
  <c r="BP33" i="1"/>
  <c r="BQ33" i="1" s="1"/>
  <c r="BP32" i="1"/>
  <c r="BQ32" i="1" s="1"/>
  <c r="BP31" i="1"/>
  <c r="BQ31" i="1" s="1"/>
  <c r="BP30" i="1"/>
  <c r="BQ30" i="1" s="1"/>
  <c r="BP29" i="1"/>
  <c r="BQ29" i="1" s="1"/>
  <c r="BP28" i="1"/>
  <c r="BQ28" i="1" s="1"/>
  <c r="BP27" i="1"/>
  <c r="BQ27" i="1" s="1"/>
  <c r="BP26" i="1"/>
  <c r="BQ26" i="1" s="1"/>
  <c r="BP25" i="1"/>
  <c r="BQ25" i="1" s="1"/>
  <c r="BP24" i="1"/>
  <c r="BQ24" i="1" s="1"/>
  <c r="BP23" i="1"/>
  <c r="BQ23" i="1" s="1"/>
  <c r="BP22" i="1"/>
  <c r="BQ22" i="1" s="1"/>
  <c r="BP21" i="1"/>
  <c r="BQ21" i="1" s="1"/>
  <c r="BP20" i="1"/>
  <c r="BQ20" i="1" s="1"/>
  <c r="BP19" i="1"/>
  <c r="BQ19" i="1" s="1"/>
  <c r="BP18" i="1"/>
  <c r="BQ18" i="1" s="1"/>
  <c r="BP17" i="1"/>
  <c r="BQ17" i="1" s="1"/>
  <c r="BP16" i="1"/>
  <c r="BQ16" i="1" s="1"/>
  <c r="BP15" i="1"/>
  <c r="BQ15" i="1" s="1"/>
  <c r="BP14" i="1"/>
  <c r="BQ14" i="1" s="1"/>
  <c r="BP13" i="1"/>
  <c r="BQ13" i="1" s="1"/>
  <c r="BP12" i="1"/>
  <c r="BQ12" i="1" s="1"/>
  <c r="BP11" i="1"/>
  <c r="BQ11" i="1" s="1"/>
  <c r="BP10" i="1"/>
  <c r="BQ10" i="1" s="1"/>
  <c r="BP9" i="1"/>
  <c r="BQ9" i="1" s="1"/>
  <c r="BP8" i="1"/>
  <c r="BQ8" i="1" s="1"/>
  <c r="BP7" i="1"/>
  <c r="BQ7" i="1" s="1"/>
  <c r="BP6" i="1"/>
  <c r="BQ6" i="1" s="1"/>
  <c r="BP5" i="1"/>
  <c r="BQ5" i="1" s="1"/>
  <c r="BP4" i="1"/>
  <c r="BQ4" i="1" s="1"/>
  <c r="BL34" i="1"/>
  <c r="BM34" i="1" s="1"/>
  <c r="BL33" i="1"/>
  <c r="BM33" i="1" s="1"/>
  <c r="BL32" i="1"/>
  <c r="BM32" i="1" s="1"/>
  <c r="BL31" i="1"/>
  <c r="BM31" i="1" s="1"/>
  <c r="BL30" i="1"/>
  <c r="BM30" i="1" s="1"/>
  <c r="BL29" i="1"/>
  <c r="BM29" i="1" s="1"/>
  <c r="BL28" i="1"/>
  <c r="BM28" i="1" s="1"/>
  <c r="BL27" i="1"/>
  <c r="BM27" i="1" s="1"/>
  <c r="BL26" i="1"/>
  <c r="BM26" i="1" s="1"/>
  <c r="BL25" i="1"/>
  <c r="BM25" i="1" s="1"/>
  <c r="BL24" i="1"/>
  <c r="BM24" i="1" s="1"/>
  <c r="BL23" i="1"/>
  <c r="BM23" i="1" s="1"/>
  <c r="BL22" i="1"/>
  <c r="BM22" i="1" s="1"/>
  <c r="BL21" i="1"/>
  <c r="BM21" i="1" s="1"/>
  <c r="BL20" i="1"/>
  <c r="BM20" i="1" s="1"/>
  <c r="BL19" i="1"/>
  <c r="BM19" i="1" s="1"/>
  <c r="BL18" i="1"/>
  <c r="BM18" i="1" s="1"/>
  <c r="BL17" i="1"/>
  <c r="BM17" i="1" s="1"/>
  <c r="BL16" i="1"/>
  <c r="BM16" i="1" s="1"/>
  <c r="BL15" i="1"/>
  <c r="BM15" i="1" s="1"/>
  <c r="BL14" i="1"/>
  <c r="BM14" i="1" s="1"/>
  <c r="BL13" i="1"/>
  <c r="BM13" i="1" s="1"/>
  <c r="BL12" i="1"/>
  <c r="BM12" i="1" s="1"/>
  <c r="BL11" i="1"/>
  <c r="BM11" i="1" s="1"/>
  <c r="BL10" i="1"/>
  <c r="BM10" i="1" s="1"/>
  <c r="BL9" i="1"/>
  <c r="BM9" i="1" s="1"/>
  <c r="BL8" i="1"/>
  <c r="BM8" i="1" s="1"/>
  <c r="BL7" i="1"/>
  <c r="BM7" i="1" s="1"/>
  <c r="BL6" i="1"/>
  <c r="BM6" i="1" s="1"/>
  <c r="BL5" i="1"/>
  <c r="BM5" i="1" s="1"/>
  <c r="BL4" i="1"/>
  <c r="BM4" i="1" s="1"/>
  <c r="AR34" i="1"/>
  <c r="AS34" i="1" s="1"/>
  <c r="AR33" i="1"/>
  <c r="AS33" i="1" s="1"/>
  <c r="AR32" i="1"/>
  <c r="AS32" i="1" s="1"/>
  <c r="AR31" i="1"/>
  <c r="AS31" i="1" s="1"/>
  <c r="AR30" i="1"/>
  <c r="AS30" i="1" s="1"/>
  <c r="AR29" i="1"/>
  <c r="AS29" i="1" s="1"/>
  <c r="AR28" i="1"/>
  <c r="AS28" i="1" s="1"/>
  <c r="AR27" i="1"/>
  <c r="AS27" i="1" s="1"/>
  <c r="AR26" i="1"/>
  <c r="AS26" i="1" s="1"/>
  <c r="AR25" i="1"/>
  <c r="AS25" i="1" s="1"/>
  <c r="AR24" i="1"/>
  <c r="AS24" i="1" s="1"/>
  <c r="AR23" i="1"/>
  <c r="AS23" i="1" s="1"/>
  <c r="AR22" i="1"/>
  <c r="AS22" i="1" s="1"/>
  <c r="AR21" i="1"/>
  <c r="AS21" i="1" s="1"/>
  <c r="AR20" i="1"/>
  <c r="AS20" i="1" s="1"/>
  <c r="AR19" i="1"/>
  <c r="AS19" i="1" s="1"/>
  <c r="AR18" i="1"/>
  <c r="AS18" i="1" s="1"/>
  <c r="AR17" i="1"/>
  <c r="AS17" i="1" s="1"/>
  <c r="AR16" i="1"/>
  <c r="AS16" i="1" s="1"/>
  <c r="AR15" i="1"/>
  <c r="AS15" i="1" s="1"/>
  <c r="AR14" i="1"/>
  <c r="AS14" i="1" s="1"/>
  <c r="AR13" i="1"/>
  <c r="AS13" i="1" s="1"/>
  <c r="AR12" i="1"/>
  <c r="AS12" i="1" s="1"/>
  <c r="AR11" i="1"/>
  <c r="AS11" i="1" s="1"/>
  <c r="AR10" i="1"/>
  <c r="AS10" i="1" s="1"/>
  <c r="AR9" i="1"/>
  <c r="AS9" i="1" s="1"/>
  <c r="AR8" i="1"/>
  <c r="AS8" i="1" s="1"/>
  <c r="AR7" i="1"/>
  <c r="AS7" i="1" s="1"/>
  <c r="AR6" i="1"/>
  <c r="AS6" i="1" s="1"/>
  <c r="AR5" i="1"/>
  <c r="AS5" i="1" s="1"/>
  <c r="AR4" i="1"/>
  <c r="AS4" i="1" s="1"/>
  <c r="AB34" i="1"/>
  <c r="AC34" i="1" s="1"/>
  <c r="AB33" i="1"/>
  <c r="AC33" i="1" s="1"/>
  <c r="AB32" i="1"/>
  <c r="AC32" i="1" s="1"/>
  <c r="AB31" i="1"/>
  <c r="AC31" i="1" s="1"/>
  <c r="AB30" i="1"/>
  <c r="AC30" i="1" s="1"/>
  <c r="AB29" i="1"/>
  <c r="AC29" i="1" s="1"/>
  <c r="AB28" i="1"/>
  <c r="AC28" i="1" s="1"/>
  <c r="AB27" i="1"/>
  <c r="AC27" i="1" s="1"/>
  <c r="AB26" i="1"/>
  <c r="AC26" i="1" s="1"/>
  <c r="AB25" i="1"/>
  <c r="AC25" i="1" s="1"/>
  <c r="AB24" i="1"/>
  <c r="AC24" i="1" s="1"/>
  <c r="AB23" i="1"/>
  <c r="AC23" i="1" s="1"/>
  <c r="AB22" i="1"/>
  <c r="AC22" i="1" s="1"/>
  <c r="AB21" i="1"/>
  <c r="AC21" i="1" s="1"/>
  <c r="AB20" i="1"/>
  <c r="AC20" i="1" s="1"/>
  <c r="AB19" i="1"/>
  <c r="AC19" i="1" s="1"/>
  <c r="AB18" i="1"/>
  <c r="AC18" i="1" s="1"/>
  <c r="AB17" i="1"/>
  <c r="AC17" i="1" s="1"/>
  <c r="AB16" i="1"/>
  <c r="AC16" i="1" s="1"/>
  <c r="AB15" i="1"/>
  <c r="AC15" i="1" s="1"/>
  <c r="AB14" i="1"/>
  <c r="AC14" i="1" s="1"/>
  <c r="AB13" i="1"/>
  <c r="AC13" i="1" s="1"/>
  <c r="AB12" i="1"/>
  <c r="AC12" i="1" s="1"/>
  <c r="AB11" i="1"/>
  <c r="AC11" i="1" s="1"/>
  <c r="AB10" i="1"/>
  <c r="AC10" i="1" s="1"/>
  <c r="AB9" i="1"/>
  <c r="AC9" i="1" s="1"/>
  <c r="AB8" i="1"/>
  <c r="AC8" i="1" s="1"/>
  <c r="AB7" i="1"/>
  <c r="AC7" i="1" s="1"/>
  <c r="AB6" i="1"/>
  <c r="AC6" i="1" s="1"/>
  <c r="AB5" i="1"/>
  <c r="AC5" i="1" s="1"/>
  <c r="AB4" i="1"/>
  <c r="AC4" i="1" s="1"/>
  <c r="T34" i="1"/>
  <c r="U34" i="1" s="1"/>
  <c r="T33" i="1"/>
  <c r="U33" i="1" s="1"/>
  <c r="T32" i="1"/>
  <c r="U32" i="1" s="1"/>
  <c r="T31" i="1"/>
  <c r="U31" i="1" s="1"/>
  <c r="T30" i="1"/>
  <c r="U30" i="1" s="1"/>
  <c r="T29" i="1"/>
  <c r="U29" i="1" s="1"/>
  <c r="T28" i="1"/>
  <c r="U28" i="1" s="1"/>
  <c r="T27" i="1"/>
  <c r="U27" i="1" s="1"/>
  <c r="T26" i="1"/>
  <c r="U26" i="1" s="1"/>
  <c r="T25" i="1"/>
  <c r="U25" i="1" s="1"/>
  <c r="T24" i="1"/>
  <c r="U24" i="1" s="1"/>
  <c r="T23" i="1"/>
  <c r="U23" i="1" s="1"/>
  <c r="T22" i="1"/>
  <c r="U22" i="1" s="1"/>
  <c r="T21" i="1"/>
  <c r="U21" i="1" s="1"/>
  <c r="T20" i="1"/>
  <c r="U20" i="1" s="1"/>
  <c r="T19" i="1"/>
  <c r="U19" i="1" s="1"/>
  <c r="T18" i="1"/>
  <c r="U18" i="1" s="1"/>
  <c r="T17" i="1"/>
  <c r="U17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T5" i="1"/>
  <c r="U5" i="1" s="1"/>
  <c r="T4" i="1"/>
  <c r="U4" i="1" s="1"/>
  <c r="AZ34" i="1"/>
  <c r="BA34" i="1" s="1"/>
  <c r="AZ33" i="1"/>
  <c r="BA33" i="1" s="1"/>
  <c r="AZ32" i="1"/>
  <c r="BA32" i="1" s="1"/>
  <c r="AZ31" i="1"/>
  <c r="BA31" i="1" s="1"/>
  <c r="AZ30" i="1"/>
  <c r="BA30" i="1" s="1"/>
  <c r="AZ29" i="1"/>
  <c r="BA29" i="1" s="1"/>
  <c r="AZ28" i="1"/>
  <c r="BA28" i="1" s="1"/>
  <c r="AZ27" i="1"/>
  <c r="BA27" i="1" s="1"/>
  <c r="AZ26" i="1"/>
  <c r="BA26" i="1" s="1"/>
  <c r="AZ25" i="1"/>
  <c r="BA25" i="1" s="1"/>
  <c r="AZ24" i="1"/>
  <c r="BA24" i="1" s="1"/>
  <c r="AZ23" i="1"/>
  <c r="BA23" i="1" s="1"/>
  <c r="AZ22" i="1"/>
  <c r="BA22" i="1" s="1"/>
  <c r="AZ21" i="1"/>
  <c r="BA21" i="1" s="1"/>
  <c r="AZ20" i="1"/>
  <c r="BA20" i="1" s="1"/>
  <c r="AZ19" i="1"/>
  <c r="BA19" i="1" s="1"/>
  <c r="AZ18" i="1"/>
  <c r="BA18" i="1" s="1"/>
  <c r="AZ17" i="1"/>
  <c r="BA17" i="1" s="1"/>
  <c r="AZ16" i="1"/>
  <c r="BA16" i="1" s="1"/>
  <c r="AZ15" i="1"/>
  <c r="BA15" i="1" s="1"/>
  <c r="AZ14" i="1"/>
  <c r="BA14" i="1" s="1"/>
  <c r="AZ13" i="1"/>
  <c r="BA13" i="1" s="1"/>
  <c r="AZ12" i="1"/>
  <c r="BA12" i="1" s="1"/>
  <c r="AZ11" i="1"/>
  <c r="BA11" i="1" s="1"/>
  <c r="AZ10" i="1"/>
  <c r="BA10" i="1" s="1"/>
  <c r="AZ9" i="1"/>
  <c r="BA9" i="1" s="1"/>
  <c r="AZ8" i="1"/>
  <c r="BA8" i="1" s="1"/>
  <c r="AZ7" i="1"/>
  <c r="BA7" i="1" s="1"/>
  <c r="AZ6" i="1"/>
  <c r="BA6" i="1" s="1"/>
  <c r="AZ5" i="1"/>
  <c r="BA5" i="1" s="1"/>
  <c r="AZ4" i="1"/>
  <c r="BA4" i="1" s="1"/>
  <c r="AV34" i="1"/>
  <c r="AW34" i="1" s="1"/>
  <c r="AV33" i="1"/>
  <c r="AW33" i="1" s="1"/>
  <c r="AV32" i="1"/>
  <c r="AW32" i="1" s="1"/>
  <c r="AV31" i="1"/>
  <c r="AW31" i="1" s="1"/>
  <c r="AV30" i="1"/>
  <c r="AW30" i="1" s="1"/>
  <c r="AV29" i="1"/>
  <c r="AW29" i="1" s="1"/>
  <c r="AV28" i="1"/>
  <c r="AW28" i="1" s="1"/>
  <c r="AV27" i="1"/>
  <c r="AW27" i="1" s="1"/>
  <c r="AV26" i="1"/>
  <c r="AW26" i="1" s="1"/>
  <c r="AV25" i="1"/>
  <c r="AW25" i="1" s="1"/>
  <c r="AV24" i="1"/>
  <c r="AW24" i="1" s="1"/>
  <c r="AV23" i="1"/>
  <c r="AW23" i="1" s="1"/>
  <c r="AV22" i="1"/>
  <c r="AW22" i="1" s="1"/>
  <c r="AV21" i="1"/>
  <c r="AW21" i="1" s="1"/>
  <c r="AV20" i="1"/>
  <c r="AW20" i="1" s="1"/>
  <c r="AV19" i="1"/>
  <c r="AW19" i="1" s="1"/>
  <c r="AV18" i="1"/>
  <c r="AW18" i="1" s="1"/>
  <c r="AV17" i="1"/>
  <c r="AW17" i="1" s="1"/>
  <c r="AV16" i="1"/>
  <c r="AW16" i="1" s="1"/>
  <c r="AV15" i="1"/>
  <c r="AW15" i="1" s="1"/>
  <c r="AV14" i="1"/>
  <c r="AW14" i="1" s="1"/>
  <c r="AV13" i="1"/>
  <c r="AW13" i="1" s="1"/>
  <c r="AV12" i="1"/>
  <c r="AW12" i="1" s="1"/>
  <c r="AV11" i="1"/>
  <c r="AW11" i="1" s="1"/>
  <c r="AV10" i="1"/>
  <c r="AW10" i="1" s="1"/>
  <c r="AV9" i="1"/>
  <c r="AW9" i="1" s="1"/>
  <c r="AV8" i="1"/>
  <c r="AW8" i="1" s="1"/>
  <c r="AV7" i="1"/>
  <c r="AW7" i="1" s="1"/>
  <c r="AV6" i="1"/>
  <c r="AW6" i="1" s="1"/>
  <c r="AV5" i="1"/>
  <c r="AW5" i="1" s="1"/>
  <c r="AV4" i="1"/>
  <c r="AW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4" i="1"/>
  <c r="M4" i="1" s="1"/>
  <c r="BP35" i="1"/>
  <c r="BQ36" i="1" s="1"/>
  <c r="BQ38" i="1" s="1"/>
  <c r="BQ39" i="1" s="1"/>
  <c r="BL35" i="1"/>
  <c r="BM36" i="1" s="1"/>
  <c r="BM38" i="1" s="1"/>
  <c r="BM39" i="1" s="1"/>
  <c r="AR35" i="1"/>
  <c r="AS36" i="1" s="1"/>
  <c r="AS38" i="1" s="1"/>
  <c r="AS39" i="1" s="1"/>
  <c r="AB35" i="1"/>
  <c r="AC36" i="1" s="1"/>
  <c r="AC38" i="1" s="1"/>
  <c r="AC39" i="1" s="1"/>
  <c r="T35" i="1"/>
  <c r="U36" i="1" s="1"/>
  <c r="U38" i="1" s="1"/>
  <c r="U39" i="1" s="1"/>
  <c r="AZ35" i="1"/>
  <c r="BA36" i="1" s="1"/>
  <c r="BA38" i="1" s="1"/>
  <c r="BA39" i="1" s="1"/>
  <c r="AV35" i="1"/>
  <c r="AW36" i="1" s="1"/>
  <c r="AW38" i="1" s="1"/>
  <c r="AW39" i="1" s="1"/>
  <c r="P35" i="1"/>
  <c r="Q36" i="1" s="1"/>
  <c r="Q38" i="1" s="1"/>
  <c r="Q39" i="1" s="1"/>
  <c r="L35" i="1" l="1"/>
  <c r="M36" i="1" s="1"/>
  <c r="A11" i="4"/>
  <c r="A11" i="9"/>
  <c r="A12" i="1"/>
  <c r="A10" i="8"/>
  <c r="E10" i="8" s="1"/>
  <c r="M38" i="1" l="1"/>
  <c r="M39" i="1"/>
  <c r="C9" i="7"/>
  <c r="C10" i="7"/>
  <c r="A12" i="4"/>
  <c r="A12" i="9"/>
  <c r="A13" i="1"/>
  <c r="A11" i="8"/>
  <c r="E11" i="8" s="1"/>
  <c r="D34" i="7" l="1"/>
  <c r="D33" i="7"/>
  <c r="D32" i="7"/>
  <c r="D31" i="7"/>
  <c r="D30" i="7"/>
  <c r="D29" i="7"/>
  <c r="D10" i="7"/>
  <c r="A13" i="4"/>
  <c r="A13" i="9"/>
  <c r="A14" i="1"/>
  <c r="A12" i="8"/>
  <c r="E12" i="8" s="1"/>
  <c r="A14" i="4" l="1"/>
  <c r="A14" i="9"/>
  <c r="A15" i="1"/>
  <c r="A13" i="8"/>
  <c r="E13" i="8" s="1"/>
  <c r="A15" i="4" l="1"/>
  <c r="A15" i="9"/>
  <c r="A16" i="1"/>
  <c r="A14" i="8"/>
  <c r="E14" i="8" s="1"/>
  <c r="A16" i="4" l="1"/>
  <c r="A16" i="9"/>
  <c r="A17" i="1"/>
  <c r="A15" i="8"/>
  <c r="E15" i="8" s="1"/>
  <c r="A17" i="4" l="1"/>
  <c r="A17" i="9"/>
  <c r="A18" i="1"/>
  <c r="A16" i="8"/>
  <c r="E16" i="8" s="1"/>
  <c r="A18" i="4" l="1"/>
  <c r="A18" i="9"/>
  <c r="A19" i="1"/>
  <c r="A17" i="8"/>
  <c r="E17" i="8" s="1"/>
  <c r="A19" i="4" l="1"/>
  <c r="A19" i="9"/>
  <c r="A20" i="1"/>
  <c r="A18" i="8"/>
  <c r="E18" i="8" s="1"/>
  <c r="A20" i="4" l="1"/>
  <c r="A20" i="9"/>
  <c r="A21" i="1"/>
  <c r="A19" i="8"/>
  <c r="E19" i="8" s="1"/>
  <c r="A21" i="4" l="1"/>
  <c r="A21" i="9"/>
  <c r="A22" i="1"/>
  <c r="A20" i="8"/>
  <c r="E20" i="8" s="1"/>
  <c r="A22" i="4" l="1"/>
  <c r="A22" i="9"/>
  <c r="A23" i="1"/>
  <c r="A21" i="8"/>
  <c r="E21" i="8" s="1"/>
  <c r="A23" i="4" l="1"/>
  <c r="A23" i="9"/>
  <c r="A24" i="1"/>
  <c r="A22" i="8"/>
  <c r="E22" i="8" s="1"/>
  <c r="A24" i="4" l="1"/>
  <c r="A24" i="9"/>
  <c r="A25" i="1"/>
  <c r="A23" i="8"/>
  <c r="E23" i="8" s="1"/>
  <c r="A25" i="4" l="1"/>
  <c r="A25" i="9"/>
  <c r="A26" i="1"/>
  <c r="A24" i="8"/>
  <c r="E24" i="8" s="1"/>
  <c r="A26" i="4" l="1"/>
  <c r="A26" i="9"/>
  <c r="A27" i="1"/>
  <c r="A25" i="8"/>
  <c r="E25" i="8" s="1"/>
  <c r="A27" i="4" l="1"/>
  <c r="A27" i="9"/>
  <c r="A28" i="1"/>
  <c r="A26" i="8"/>
  <c r="E26" i="8" s="1"/>
  <c r="A28" i="4" l="1"/>
  <c r="A28" i="9"/>
  <c r="A29" i="1"/>
  <c r="A27" i="8"/>
  <c r="E27" i="8" s="1"/>
  <c r="A29" i="4" l="1"/>
  <c r="A29" i="9"/>
  <c r="A30" i="1"/>
  <c r="A28" i="8"/>
  <c r="E28" i="8" s="1"/>
  <c r="A30" i="4" l="1"/>
  <c r="A30" i="9"/>
  <c r="A31" i="1"/>
  <c r="A29" i="8"/>
  <c r="E29" i="8" s="1"/>
  <c r="A31" i="4" l="1"/>
  <c r="A31" i="9"/>
  <c r="A32" i="1"/>
  <c r="A30" i="8"/>
  <c r="E30" i="8" s="1"/>
  <c r="A32" i="4" l="1"/>
  <c r="A32" i="9"/>
  <c r="A33" i="1"/>
  <c r="A31" i="8"/>
  <c r="E31" i="8" s="1"/>
  <c r="A33" i="4" l="1"/>
  <c r="A33" i="9"/>
  <c r="A34" i="1"/>
  <c r="A32" i="8"/>
  <c r="E32" i="8" s="1"/>
  <c r="J10" i="7" l="1" a="1"/>
  <c r="J10" i="7" s="1"/>
  <c r="P10" i="7" s="1"/>
  <c r="J16" i="7" a="1"/>
  <c r="J16" i="7" s="1"/>
  <c r="P16" i="7" s="1"/>
  <c r="J13" i="7" a="1"/>
  <c r="J13" i="7" s="1"/>
  <c r="P13" i="7" s="1"/>
  <c r="J12" i="7" a="1"/>
  <c r="J12" i="7" s="1"/>
  <c r="P12" i="7" s="1"/>
  <c r="J20" i="7" a="1"/>
  <c r="J20" i="7" s="1"/>
  <c r="P20" i="7" s="1"/>
  <c r="J22" i="7" a="1"/>
  <c r="J22" i="7" s="1"/>
  <c r="P22" i="7" s="1"/>
  <c r="J23" i="7" a="1"/>
  <c r="J23" i="7" s="1"/>
  <c r="P23" i="7" s="1"/>
  <c r="J7" i="7" a="1"/>
  <c r="J7" i="7" s="1"/>
  <c r="P7" i="7" s="1"/>
  <c r="J8" i="7" a="1"/>
  <c r="J8" i="7" s="1"/>
  <c r="P8" i="7" s="1"/>
  <c r="J6" i="7" a="1"/>
  <c r="J6" i="7" s="1"/>
  <c r="P6" i="7" s="1"/>
  <c r="G13" i="7" a="1"/>
  <c r="G13" i="7" s="1"/>
  <c r="S13" i="7" s="1"/>
  <c r="G14" i="7" a="1"/>
  <c r="G14" i="7" s="1"/>
  <c r="S14" i="7" s="1"/>
  <c r="G15" i="7" a="1"/>
  <c r="G15" i="7" s="1"/>
  <c r="S15" i="7" s="1"/>
  <c r="G16" i="7" a="1"/>
  <c r="G16" i="7" s="1"/>
  <c r="S16" i="7" s="1"/>
  <c r="G17" i="7" a="1"/>
  <c r="G17" i="7" s="1"/>
  <c r="S17" i="7" s="1"/>
  <c r="G18" i="7" a="1"/>
  <c r="G18" i="7" s="1"/>
  <c r="S18" i="7" s="1"/>
  <c r="G19" i="7" a="1"/>
  <c r="G19" i="7" s="1"/>
  <c r="S19" i="7" s="1"/>
  <c r="G20" i="7" a="1"/>
  <c r="G20" i="7" s="1"/>
  <c r="S20" i="7" s="1"/>
  <c r="G21" i="7" a="1"/>
  <c r="G21" i="7" s="1"/>
  <c r="S21" i="7" s="1"/>
  <c r="G22" i="7" a="1"/>
  <c r="G22" i="7" s="1"/>
  <c r="S22" i="7" s="1"/>
  <c r="G23" i="7" a="1"/>
  <c r="G23" i="7" s="1"/>
  <c r="S23" i="7" s="1"/>
  <c r="G12" i="7" a="1"/>
  <c r="G12" i="7" s="1"/>
  <c r="S12" i="7" s="1"/>
  <c r="J21" i="7" a="1"/>
  <c r="J21" i="7" s="1"/>
  <c r="P21" i="7" s="1"/>
  <c r="J17" i="7" a="1"/>
  <c r="J17" i="7" s="1"/>
  <c r="P17" i="7" s="1"/>
  <c r="J15" i="7" a="1"/>
  <c r="J15" i="7" s="1"/>
  <c r="P15" i="7" s="1"/>
  <c r="J18" i="7" a="1"/>
  <c r="J18" i="7" s="1"/>
  <c r="P18" i="7" s="1"/>
  <c r="J14" i="7" a="1"/>
  <c r="J14" i="7" s="1"/>
  <c r="P14" i="7" s="1"/>
  <c r="J19" i="7" a="1"/>
  <c r="J19" i="7" s="1"/>
  <c r="P19" i="7" s="1"/>
  <c r="A34" i="4"/>
  <c r="A34" i="9"/>
  <c r="A33" i="8"/>
  <c r="E33" i="8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12" i="7" a="1"/>
  <c r="C12" i="7" s="1"/>
  <c r="C8" i="7"/>
  <c r="C7" i="7"/>
  <c r="C6" i="7"/>
  <c r="D25" i="7"/>
  <c r="E34" i="8" l="1"/>
  <c r="BW5" i="1"/>
  <c r="C4" i="8" s="1"/>
  <c r="F4" i="8" s="1"/>
  <c r="G4" i="8" s="1"/>
  <c r="BW4" i="1"/>
  <c r="BX4" i="1" s="1"/>
  <c r="BX5" i="1" s="1"/>
  <c r="C3" i="8" l="1"/>
  <c r="F3" i="8" s="1"/>
  <c r="G3" i="8" s="1"/>
  <c r="BW9" i="1"/>
  <c r="C8" i="8" s="1"/>
  <c r="F8" i="8" s="1"/>
  <c r="G8" i="8" s="1"/>
  <c r="BW8" i="1"/>
  <c r="C7" i="8" s="1"/>
  <c r="F7" i="8" s="1"/>
  <c r="G7" i="8" s="1"/>
  <c r="BW7" i="1"/>
  <c r="C6" i="8" s="1"/>
  <c r="F6" i="8" s="1"/>
  <c r="G6" i="8" s="1"/>
  <c r="BW6" i="1"/>
  <c r="C5" i="8" s="1"/>
  <c r="BW10" i="1"/>
  <c r="C9" i="8" s="1"/>
  <c r="F9" i="8" s="1"/>
  <c r="G9" i="8" s="1"/>
  <c r="BW11" i="1"/>
  <c r="C10" i="8" s="1"/>
  <c r="F10" i="8" s="1"/>
  <c r="G10" i="8" s="1"/>
  <c r="BW12" i="1"/>
  <c r="C11" i="8" s="1"/>
  <c r="F11" i="8" s="1"/>
  <c r="G11" i="8" s="1"/>
  <c r="BW13" i="1"/>
  <c r="C12" i="8" s="1"/>
  <c r="F12" i="8" s="1"/>
  <c r="G12" i="8" s="1"/>
  <c r="BW14" i="1"/>
  <c r="C13" i="8" s="1"/>
  <c r="F13" i="8" s="1"/>
  <c r="G13" i="8" s="1"/>
  <c r="BW15" i="1"/>
  <c r="C14" i="8" s="1"/>
  <c r="F14" i="8" s="1"/>
  <c r="G14" i="8" s="1"/>
  <c r="BW16" i="1"/>
  <c r="C15" i="8" s="1"/>
  <c r="F15" i="8" s="1"/>
  <c r="G15" i="8" s="1"/>
  <c r="BW17" i="1"/>
  <c r="C16" i="8" s="1"/>
  <c r="F16" i="8" s="1"/>
  <c r="G16" i="8" s="1"/>
  <c r="BW18" i="1"/>
  <c r="C17" i="8" s="1"/>
  <c r="F17" i="8" s="1"/>
  <c r="G17" i="8" s="1"/>
  <c r="BW19" i="1"/>
  <c r="C18" i="8" s="1"/>
  <c r="F18" i="8" s="1"/>
  <c r="G18" i="8" s="1"/>
  <c r="BW20" i="1"/>
  <c r="C19" i="8" s="1"/>
  <c r="F19" i="8" s="1"/>
  <c r="G19" i="8" s="1"/>
  <c r="BW21" i="1"/>
  <c r="C20" i="8" s="1"/>
  <c r="F20" i="8" s="1"/>
  <c r="G20" i="8" s="1"/>
  <c r="BW22" i="1"/>
  <c r="C21" i="8" s="1"/>
  <c r="F21" i="8" s="1"/>
  <c r="G21" i="8" s="1"/>
  <c r="BW23" i="1"/>
  <c r="C22" i="8" s="1"/>
  <c r="F22" i="8" s="1"/>
  <c r="G22" i="8" s="1"/>
  <c r="BW24" i="1"/>
  <c r="C23" i="8" s="1"/>
  <c r="F23" i="8" s="1"/>
  <c r="G23" i="8" s="1"/>
  <c r="BW25" i="1"/>
  <c r="C24" i="8" s="1"/>
  <c r="F24" i="8" s="1"/>
  <c r="G24" i="8" s="1"/>
  <c r="BW26" i="1"/>
  <c r="C25" i="8" s="1"/>
  <c r="F25" i="8" s="1"/>
  <c r="G25" i="8" s="1"/>
  <c r="BW27" i="1"/>
  <c r="C26" i="8" s="1"/>
  <c r="F26" i="8" s="1"/>
  <c r="G26" i="8" s="1"/>
  <c r="BW28" i="1"/>
  <c r="C27" i="8" s="1"/>
  <c r="F27" i="8" s="1"/>
  <c r="G27" i="8" s="1"/>
  <c r="BW29" i="1"/>
  <c r="C28" i="8" s="1"/>
  <c r="F28" i="8" s="1"/>
  <c r="G28" i="8" s="1"/>
  <c r="BW30" i="1"/>
  <c r="C29" i="8" s="1"/>
  <c r="F29" i="8" s="1"/>
  <c r="G29" i="8" s="1"/>
  <c r="BW31" i="1"/>
  <c r="C30" i="8" s="1"/>
  <c r="F30" i="8" s="1"/>
  <c r="G30" i="8" s="1"/>
  <c r="BW32" i="1"/>
  <c r="C31" i="8" s="1"/>
  <c r="F31" i="8" s="1"/>
  <c r="G31" i="8" s="1"/>
  <c r="BW33" i="1"/>
  <c r="C32" i="8" s="1"/>
  <c r="F32" i="8" s="1"/>
  <c r="G32" i="8" s="1"/>
  <c r="BW34" i="1"/>
  <c r="C33" i="8" s="1"/>
  <c r="F33" i="8" s="1"/>
  <c r="G33" i="8" s="1"/>
  <c r="BX6" i="1" l="1"/>
  <c r="BX7" i="1" s="1"/>
  <c r="BX8" i="1" s="1"/>
  <c r="BX9" i="1" s="1"/>
  <c r="BX10" i="1" s="1"/>
  <c r="BX11" i="1" s="1"/>
  <c r="BX12" i="1" s="1"/>
  <c r="BX13" i="1" s="1"/>
  <c r="BX14" i="1" s="1"/>
  <c r="BX15" i="1" s="1"/>
  <c r="BX16" i="1" s="1"/>
  <c r="BX17" i="1" s="1"/>
  <c r="BX18" i="1" s="1"/>
  <c r="BX19" i="1" s="1"/>
  <c r="BX20" i="1" s="1"/>
  <c r="BX21" i="1" s="1"/>
  <c r="BX22" i="1" s="1"/>
  <c r="BX23" i="1" s="1"/>
  <c r="BX24" i="1" s="1"/>
  <c r="BX25" i="1" s="1"/>
  <c r="BX26" i="1" s="1"/>
  <c r="BX27" i="1" s="1"/>
  <c r="BX28" i="1" s="1"/>
  <c r="BX29" i="1" s="1"/>
  <c r="BX30" i="1" s="1"/>
  <c r="BX31" i="1" s="1"/>
  <c r="BX32" i="1" s="1"/>
  <c r="BX33" i="1" s="1"/>
  <c r="BX34" i="1" s="1"/>
  <c r="BX35" i="1" s="1"/>
  <c r="F5" i="8"/>
  <c r="F34" i="8" s="1"/>
  <c r="H26" i="7" s="1"/>
  <c r="C34" i="8"/>
  <c r="H27" i="7" l="1"/>
  <c r="G5" i="8"/>
  <c r="D26" i="7"/>
  <c r="D2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rladu</author>
  </authors>
  <commentList>
    <comment ref="B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신경쓰지말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신경쓰지말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근무일수</t>
        </r>
      </text>
    </comment>
    <comment ref="A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매달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rladu</author>
  </authors>
  <commentList>
    <comment ref="C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인센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퍼센트</t>
        </r>
      </text>
    </comment>
    <comment ref="D2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직원명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Infraware Corporation</author>
  </authors>
  <commentList>
    <comment ref="T37" authorId="0" shapeId="0" xr:uid="{00000000-0006-0000-0500-000003000000}">
      <text>
        <r>
          <rPr>
            <b/>
            <sz val="11"/>
            <color indexed="8"/>
            <rFont val="굴림"/>
            <family val="3"/>
            <charset val="129"/>
          </rPr>
          <t>매출대비~ 주류 비율 15%이상시</t>
        </r>
        <r>
          <rPr>
            <sz val="11"/>
            <color indexed="8"/>
            <rFont val="굴림"/>
            <family val="3"/>
            <charset val="129"/>
          </rPr>
          <t xml:space="preserve">
각 지점 실장들은~
그 이유와 대처방안을 
첨부하여 보내시길 바랍니다
또한, 사유서(이유와 대처방안)가 불분명할시 사무실로 호출되어 회의 및 전략계획시간을 갖게 되오니 참고하세요.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<sst xmlns="http://schemas.openxmlformats.org/spreadsheetml/2006/main" count="293" uniqueCount="104">
  <si>
    <t>출근</t>
    <phoneticPr fontId="1" type="noConversion"/>
  </si>
  <si>
    <t>퇴근</t>
    <phoneticPr fontId="1" type="noConversion"/>
  </si>
  <si>
    <t>근무시간</t>
  </si>
  <si>
    <t>실장</t>
    <phoneticPr fontId="1" type="noConversion"/>
  </si>
  <si>
    <t>총근무시간</t>
  </si>
  <si>
    <t>지급 시급</t>
    <phoneticPr fontId="1" type="noConversion"/>
  </si>
  <si>
    <t>지급 인센</t>
    <phoneticPr fontId="1" type="noConversion"/>
  </si>
  <si>
    <t>총 지급액</t>
    <phoneticPr fontId="1" type="noConversion"/>
  </si>
  <si>
    <t>세금</t>
    <phoneticPr fontId="1" type="noConversion"/>
  </si>
  <si>
    <t>FACE</t>
    <phoneticPr fontId="4" type="noConversion"/>
  </si>
  <si>
    <t>날짜</t>
    <phoneticPr fontId="4" type="noConversion"/>
  </si>
  <si>
    <t>테이블</t>
    <phoneticPr fontId="4" type="noConversion"/>
  </si>
  <si>
    <t>비지명</t>
    <phoneticPr fontId="4" type="noConversion"/>
  </si>
  <si>
    <t>지명</t>
    <phoneticPr fontId="4" type="noConversion"/>
  </si>
  <si>
    <t>추가</t>
    <phoneticPr fontId="4" type="noConversion"/>
  </si>
  <si>
    <t>T단가</t>
    <phoneticPr fontId="4" type="noConversion"/>
  </si>
  <si>
    <t>인당생산성</t>
    <phoneticPr fontId="4" type="noConversion"/>
  </si>
  <si>
    <t>출근</t>
    <phoneticPr fontId="4" type="noConversion"/>
  </si>
  <si>
    <t>일매출</t>
    <phoneticPr fontId="4" type="noConversion"/>
  </si>
  <si>
    <t>주간합계</t>
    <phoneticPr fontId="4" type="noConversion"/>
  </si>
  <si>
    <t>주류총액</t>
    <phoneticPr fontId="4" type="noConversion"/>
  </si>
  <si>
    <t>반품</t>
    <phoneticPr fontId="4" type="noConversion"/>
  </si>
  <si>
    <t>일일시재비율</t>
    <phoneticPr fontId="4" type="noConversion"/>
  </si>
  <si>
    <t>주류비율</t>
    <phoneticPr fontId="4" type="noConversion"/>
  </si>
  <si>
    <t>시급</t>
    <phoneticPr fontId="1" type="noConversion"/>
  </si>
  <si>
    <t>당일 발생 급여</t>
    <phoneticPr fontId="1" type="noConversion"/>
  </si>
  <si>
    <t>당일 급여</t>
  </si>
  <si>
    <t>당일 급여</t>
    <phoneticPr fontId="1" type="noConversion"/>
  </si>
  <si>
    <t>당일 매출</t>
    <phoneticPr fontId="1" type="noConversion"/>
  </si>
  <si>
    <t>인건비율</t>
    <phoneticPr fontId="1" type="noConversion"/>
  </si>
  <si>
    <t>날짜</t>
    <phoneticPr fontId="1" type="noConversion"/>
  </si>
  <si>
    <t>누적 급여</t>
    <phoneticPr fontId="1" type="noConversion"/>
  </si>
  <si>
    <t>댱일</t>
    <phoneticPr fontId="1" type="noConversion"/>
  </si>
  <si>
    <t>누적</t>
    <phoneticPr fontId="1" type="noConversion"/>
  </si>
  <si>
    <t>매출</t>
    <phoneticPr fontId="1" type="noConversion"/>
  </si>
  <si>
    <t>급여</t>
    <phoneticPr fontId="1" type="noConversion"/>
  </si>
  <si>
    <t>당일</t>
    <phoneticPr fontId="1" type="noConversion"/>
  </si>
  <si>
    <t>일자</t>
    <phoneticPr fontId="1" type="noConversion"/>
  </si>
  <si>
    <t>합계</t>
    <phoneticPr fontId="1" type="noConversion"/>
  </si>
  <si>
    <t>이름</t>
    <phoneticPr fontId="1" type="noConversion"/>
  </si>
  <si>
    <t>근무시간</t>
    <phoneticPr fontId="1" type="noConversion"/>
  </si>
  <si>
    <t>인센</t>
    <phoneticPr fontId="1" type="noConversion"/>
  </si>
  <si>
    <t>직원</t>
    <phoneticPr fontId="1" type="noConversion"/>
  </si>
  <si>
    <t>피트</t>
    <phoneticPr fontId="1" type="noConversion"/>
  </si>
  <si>
    <t>직원 인센</t>
    <phoneticPr fontId="1" type="noConversion"/>
  </si>
  <si>
    <t>파트 인센</t>
    <phoneticPr fontId="1" type="noConversion"/>
  </si>
  <si>
    <t>T</t>
    <phoneticPr fontId="1" type="noConversion"/>
  </si>
  <si>
    <t xml:space="preserve"> </t>
    <phoneticPr fontId="1" type="noConversion"/>
  </si>
  <si>
    <t>Total</t>
    <phoneticPr fontId="1" type="noConversion"/>
  </si>
  <si>
    <t>다솜</t>
    <phoneticPr fontId="1" type="noConversion"/>
  </si>
  <si>
    <t>총합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</si>
  <si>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</si>
  <si>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</si>
  <si>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</si>
  <si>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</si>
  <si>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</si>
  <si>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가불</t>
    <phoneticPr fontId="1" type="noConversion"/>
  </si>
  <si>
    <t>미지급 액</t>
    <phoneticPr fontId="1" type="noConversion"/>
  </si>
  <si>
    <t>발생 급여</t>
    <phoneticPr fontId="1" type="noConversion"/>
  </si>
  <si>
    <t>점수</t>
    <phoneticPr fontId="1" type="noConversion"/>
  </si>
  <si>
    <t>&lt;- 이건 신경 안써도 됨</t>
    <phoneticPr fontId="1" type="noConversion"/>
  </si>
  <si>
    <t>합산</t>
    <phoneticPr fontId="1" type="noConversion"/>
  </si>
  <si>
    <t>성과</t>
    <phoneticPr fontId="1" type="noConversion"/>
  </si>
  <si>
    <t>재영</t>
    <phoneticPr fontId="1" type="noConversion"/>
  </si>
  <si>
    <t>은지</t>
    <phoneticPr fontId="1" type="noConversion"/>
  </si>
  <si>
    <t>수연</t>
    <phoneticPr fontId="1" type="noConversion"/>
  </si>
  <si>
    <t>가을</t>
    <phoneticPr fontId="1" type="noConversion"/>
  </si>
  <si>
    <t>선미</t>
    <phoneticPr fontId="1" type="noConversion"/>
  </si>
  <si>
    <t>서연</t>
    <phoneticPr fontId="1" type="noConversion"/>
  </si>
  <si>
    <t>희령</t>
    <phoneticPr fontId="1" type="noConversion"/>
  </si>
  <si>
    <t>재희</t>
    <phoneticPr fontId="1" type="noConversion"/>
  </si>
  <si>
    <t>PR</t>
    <phoneticPr fontId="1" type="noConversion"/>
  </si>
  <si>
    <t>리벳12-1B/15-1B/윈아4</t>
    <phoneticPr fontId="35" type="noConversion"/>
  </si>
  <si>
    <t>비고</t>
    <phoneticPr fontId="4" type="noConversion"/>
  </si>
  <si>
    <t>수아</t>
    <phoneticPr fontId="1" type="noConversion"/>
  </si>
  <si>
    <t>카드</t>
    <phoneticPr fontId="1" type="noConversion"/>
  </si>
  <si>
    <t>현금</t>
    <phoneticPr fontId="1" type="noConversion"/>
  </si>
  <si>
    <t>계좌이체</t>
    <phoneticPr fontId="1" type="noConversion"/>
  </si>
  <si>
    <t>사장님서비스</t>
    <phoneticPr fontId="1" type="noConversion"/>
  </si>
  <si>
    <t>시재사용</t>
    <phoneticPr fontId="1" type="noConversion"/>
  </si>
  <si>
    <t>시재수거</t>
    <phoneticPr fontId="1" type="noConversion"/>
  </si>
  <si>
    <t>시재합계</t>
    <phoneticPr fontId="1" type="noConversion"/>
  </si>
  <si>
    <t>외상</t>
    <phoneticPr fontId="1" type="noConversion"/>
  </si>
  <si>
    <t>당일 
현금흐름
상세</t>
    <phoneticPr fontId="1" type="noConversion"/>
  </si>
  <si>
    <t>서비스</t>
    <phoneticPr fontId="1" type="noConversion"/>
  </si>
  <si>
    <t>시재</t>
    <phoneticPr fontId="1" type="noConversion"/>
  </si>
  <si>
    <t>수수아</t>
    <phoneticPr fontId="1" type="noConversion"/>
  </si>
  <si>
    <t>에약</t>
    <phoneticPr fontId="1" type="noConversion"/>
  </si>
  <si>
    <t>이벤트</t>
    <phoneticPr fontId="1" type="noConversion"/>
  </si>
  <si>
    <t>번호</t>
    <phoneticPr fontId="1" type="noConversion"/>
  </si>
  <si>
    <t>수</t>
  </si>
  <si>
    <t>목</t>
  </si>
  <si>
    <t>금</t>
  </si>
  <si>
    <t>토</t>
  </si>
  <si>
    <t>일</t>
  </si>
  <si>
    <t>월</t>
  </si>
  <si>
    <t>화</t>
  </si>
  <si>
    <t>무시급 인센40%</t>
    <phoneticPr fontId="1" type="noConversion"/>
  </si>
  <si>
    <t>당일합산</t>
    <phoneticPr fontId="1" type="noConversion"/>
  </si>
  <si>
    <t>합</t>
    <phoneticPr fontId="1" type="noConversion"/>
  </si>
  <si>
    <t>누적합산</t>
    <phoneticPr fontId="1" type="noConversion"/>
  </si>
  <si>
    <t>비지명</t>
    <phoneticPr fontId="1" type="noConversion"/>
  </si>
  <si>
    <t>지명</t>
    <phoneticPr fontId="1" type="noConversion"/>
  </si>
  <si>
    <t>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</si>
</sst>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h:mm;@"/>
    <numFmt numFmtId="178" formatCode="mm/dd\ aaa"/>
    <numFmt numFmtId="179" formatCode="#,##0_);[Red]\(#,##0\)"/>
    <numFmt numFmtId="180" formatCode="mm&quot;월&quot;\ dd&quot;일&quot;"/>
    <numFmt numFmtId="181" formatCode="#,##0_ "/>
    <numFmt numFmtId="182" formatCode="0.00_ "/>
    <numFmt numFmtId="183" formatCode="0.0_ "/>
    <numFmt numFmtId="184" formatCode="0.0_);[Red]\(0.0\)"/>
    <numFmt numFmtId="185" formatCode="#&quot;월&quot;"/>
    <numFmt numFmtId="186" formatCode="#,##0.0_ "/>
    <numFmt numFmtId="187" formatCode="_-&quot;₩&quot;* #,##0_-;\-&quot;₩&quot;* #,##0_-;_-&quot;₩&quot;* &quot;-&quot;_-;_-@_-"/>
    <numFmt numFmtId="188" formatCode="_-* #,##0_-;\-* #,##0_-;_-* &quot;-&quot;_-;_-@_-"/>
    <numFmt numFmtId="197" formatCode="0_ "/>
  </numFmts>
  <fonts count="5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2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2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11"/>
      <color indexed="10"/>
      <name val="맑은 고딕"/>
      <family val="3"/>
      <charset val="129"/>
    </font>
    <font>
      <b/>
      <sz val="14"/>
      <color theme="1"/>
      <name val="돋움"/>
      <family val="3"/>
      <charset val="129"/>
    </font>
    <font>
      <b/>
      <sz val="14"/>
      <color indexed="10"/>
      <name val="돋움"/>
      <family val="3"/>
      <charset val="129"/>
    </font>
    <font>
      <b/>
      <sz val="14"/>
      <color indexed="48"/>
      <name val="돋움"/>
      <family val="3"/>
      <charset val="129"/>
    </font>
    <font>
      <b/>
      <sz val="20"/>
      <color indexed="9"/>
      <name val="돋움"/>
      <family val="3"/>
      <charset val="129"/>
    </font>
    <font>
      <b/>
      <sz val="24"/>
      <color indexed="9"/>
      <name val="돋움"/>
      <family val="3"/>
      <charset val="129"/>
    </font>
    <font>
      <b/>
      <sz val="11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6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b/>
      <sz val="11"/>
      <color indexed="8"/>
      <name val="돋움"/>
      <family val="3"/>
      <charset val="129"/>
    </font>
    <font>
      <sz val="8"/>
      <name val="돋움"/>
      <family val="3"/>
      <charset val="129"/>
    </font>
    <font>
      <b/>
      <sz val="20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38" fillId="0" borderId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0" fillId="33" borderId="40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8" fillId="34" borderId="41" applyNumberFormat="0" applyFont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6" borderId="42" applyNumberFormat="0" applyAlignment="0" applyProtection="0">
      <alignment vertical="center"/>
    </xf>
    <xf numFmtId="188" fontId="38" fillId="0" borderId="0" applyFont="0" applyFill="0" applyBorder="0" applyAlignment="0" applyProtection="0">
      <alignment vertical="center"/>
    </xf>
    <xf numFmtId="0" fontId="45" fillId="0" borderId="43" applyNumberFormat="0" applyFill="0" applyAlignment="0" applyProtection="0">
      <alignment vertical="center"/>
    </xf>
    <xf numFmtId="0" fontId="46" fillId="0" borderId="44" applyNumberFormat="0" applyFill="0" applyAlignment="0" applyProtection="0">
      <alignment vertical="center"/>
    </xf>
    <xf numFmtId="0" fontId="47" fillId="20" borderId="40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50" fillId="0" borderId="46" applyNumberFormat="0" applyFill="0" applyAlignment="0" applyProtection="0">
      <alignment vertical="center"/>
    </xf>
    <xf numFmtId="0" fontId="51" fillId="0" borderId="47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3" fillId="33" borderId="48" applyNumberFormat="0" applyAlignment="0" applyProtection="0">
      <alignment vertical="center"/>
    </xf>
    <xf numFmtId="187" fontId="38" fillId="0" borderId="0" applyFont="0" applyFill="0" applyBorder="0" applyAlignment="0" applyProtection="0">
      <alignment vertical="center"/>
    </xf>
    <xf numFmtId="0" fontId="38" fillId="0" borderId="0">
      <alignment vertical="center"/>
    </xf>
    <xf numFmtId="0" fontId="40" fillId="33" borderId="50" applyNumberFormat="0" applyAlignment="0" applyProtection="0">
      <alignment vertical="center"/>
    </xf>
    <xf numFmtId="0" fontId="38" fillId="34" borderId="51" applyNumberFormat="0" applyFont="0" applyAlignment="0" applyProtection="0">
      <alignment vertical="center"/>
    </xf>
    <xf numFmtId="0" fontId="47" fillId="20" borderId="50" applyNumberFormat="0" applyAlignment="0" applyProtection="0">
      <alignment vertical="center"/>
    </xf>
  </cellStyleXfs>
  <cellXfs count="166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0" xfId="0" applyBorder="1" applyAlignment="1">
      <alignment horizontal="right" vertical="center"/>
    </xf>
    <xf numFmtId="181" fontId="0" fillId="0" borderId="7" xfId="0" applyNumberFormat="1" applyBorder="1" applyAlignment="1">
      <alignment horizontal="right" vertical="center"/>
    </xf>
    <xf numFmtId="0" fontId="0" fillId="2" borderId="1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>
      <alignment vertical="center"/>
    </xf>
    <xf numFmtId="179" fontId="0" fillId="2" borderId="0" xfId="0" applyNumberFormat="1" applyFill="1">
      <alignment vertical="center"/>
    </xf>
    <xf numFmtId="181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2" borderId="14" xfId="0" applyFill="1" applyBorder="1">
      <alignment vertical="center"/>
    </xf>
    <xf numFmtId="176" fontId="0" fillId="0" borderId="8" xfId="0" applyNumberFormat="1" applyBorder="1">
      <alignment vertical="center"/>
    </xf>
    <xf numFmtId="179" fontId="0" fillId="0" borderId="7" xfId="0" applyNumberFormat="1" applyBorder="1">
      <alignment vertical="center"/>
    </xf>
    <xf numFmtId="179" fontId="0" fillId="0" borderId="8" xfId="0" applyNumberFormat="1" applyBorder="1">
      <alignment vertical="center"/>
    </xf>
    <xf numFmtId="0" fontId="0" fillId="2" borderId="4" xfId="0" applyFill="1" applyBorder="1">
      <alignment vertical="center"/>
    </xf>
    <xf numFmtId="179" fontId="0" fillId="2" borderId="6" xfId="0" applyNumberFormat="1" applyFill="1" applyBorder="1">
      <alignment vertical="center"/>
    </xf>
    <xf numFmtId="179" fontId="0" fillId="2" borderId="17" xfId="0" applyNumberFormat="1" applyFill="1" applyBorder="1">
      <alignment vertical="center"/>
    </xf>
    <xf numFmtId="179" fontId="0" fillId="2" borderId="11" xfId="0" applyNumberFormat="1" applyFill="1" applyBorder="1">
      <alignment vertical="center"/>
    </xf>
    <xf numFmtId="177" fontId="0" fillId="0" borderId="18" xfId="0" applyNumberFormat="1" applyBorder="1">
      <alignment vertical="center"/>
    </xf>
    <xf numFmtId="0" fontId="0" fillId="3" borderId="19" xfId="0" applyFill="1" applyBorder="1">
      <alignment vertical="center"/>
    </xf>
    <xf numFmtId="0" fontId="0" fillId="2" borderId="1" xfId="0" applyFill="1" applyBorder="1">
      <alignment vertical="center"/>
    </xf>
    <xf numFmtId="181" fontId="0" fillId="0" borderId="20" xfId="0" applyNumberFormat="1" applyBorder="1" applyAlignment="1">
      <alignment horizontal="right" vertical="center"/>
    </xf>
    <xf numFmtId="0" fontId="0" fillId="2" borderId="13" xfId="0" applyFill="1" applyBorder="1">
      <alignment vertical="center"/>
    </xf>
    <xf numFmtId="181" fontId="0" fillId="8" borderId="13" xfId="0" applyNumberFormat="1" applyFill="1" applyBorder="1">
      <alignment vertical="center"/>
    </xf>
    <xf numFmtId="185" fontId="0" fillId="0" borderId="0" xfId="0" applyNumberFormat="1">
      <alignment vertical="center"/>
    </xf>
    <xf numFmtId="179" fontId="0" fillId="0" borderId="21" xfId="0" applyNumberFormat="1" applyBorder="1">
      <alignment vertical="center"/>
    </xf>
    <xf numFmtId="181" fontId="0" fillId="3" borderId="22" xfId="0" applyNumberFormat="1" applyFill="1" applyBorder="1">
      <alignment vertical="center"/>
    </xf>
    <xf numFmtId="176" fontId="0" fillId="0" borderId="0" xfId="0" applyNumberFormat="1">
      <alignment vertical="center"/>
    </xf>
    <xf numFmtId="179" fontId="21" fillId="4" borderId="15" xfId="0" applyNumberFormat="1" applyFont="1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0" borderId="5" xfId="0" applyBorder="1">
      <alignment vertical="center"/>
    </xf>
    <xf numFmtId="179" fontId="0" fillId="0" borderId="5" xfId="0" applyNumberFormat="1" applyBorder="1">
      <alignment vertical="center"/>
    </xf>
    <xf numFmtId="179" fontId="0" fillId="0" borderId="23" xfId="0" applyNumberFormat="1" applyBorder="1">
      <alignment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179" fontId="10" fillId="4" borderId="13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3" xfId="0" applyBorder="1">
      <alignment vertical="center"/>
    </xf>
    <xf numFmtId="178" fontId="0" fillId="0" borderId="13" xfId="0" applyNumberFormat="1" applyBorder="1">
      <alignment vertical="center"/>
    </xf>
    <xf numFmtId="179" fontId="0" fillId="0" borderId="13" xfId="0" applyNumberFormat="1" applyBorder="1">
      <alignment vertical="center"/>
    </xf>
    <xf numFmtId="10" fontId="0" fillId="0" borderId="13" xfId="0" applyNumberFormat="1" applyBorder="1">
      <alignment vertical="center"/>
    </xf>
    <xf numFmtId="41" fontId="0" fillId="0" borderId="0" xfId="4" applyFont="1">
      <alignment vertical="center"/>
    </xf>
    <xf numFmtId="41" fontId="0" fillId="0" borderId="13" xfId="4" applyFont="1" applyBorder="1">
      <alignment vertical="center"/>
    </xf>
    <xf numFmtId="0" fontId="0" fillId="0" borderId="24" xfId="0" applyBorder="1">
      <alignment vertical="center"/>
    </xf>
    <xf numFmtId="0" fontId="0" fillId="0" borderId="33" xfId="0" applyBorder="1">
      <alignment vertical="center"/>
    </xf>
    <xf numFmtId="10" fontId="0" fillId="9" borderId="13" xfId="5" applyNumberFormat="1" applyFont="1" applyFill="1" applyBorder="1">
      <alignment vertical="center"/>
    </xf>
    <xf numFmtId="41" fontId="0" fillId="0" borderId="0" xfId="4" applyFont="1" applyBorder="1">
      <alignment vertical="center"/>
    </xf>
    <xf numFmtId="0" fontId="0" fillId="0" borderId="27" xfId="0" applyBorder="1">
      <alignment vertical="center"/>
    </xf>
    <xf numFmtId="178" fontId="0" fillId="0" borderId="27" xfId="0" applyNumberFormat="1" applyBorder="1">
      <alignment vertical="center"/>
    </xf>
    <xf numFmtId="0" fontId="23" fillId="0" borderId="34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179" fontId="23" fillId="0" borderId="15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1" fillId="4" borderId="34" xfId="0" applyFont="1" applyFill="1" applyBorder="1" applyAlignment="1">
      <alignment horizontal="center" vertical="center"/>
    </xf>
    <xf numFmtId="181" fontId="21" fillId="4" borderId="13" xfId="0" applyNumberFormat="1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176" fontId="21" fillId="4" borderId="13" xfId="0" applyNumberFormat="1" applyFont="1" applyFill="1" applyBorder="1" applyAlignment="1">
      <alignment horizontal="center" vertical="center"/>
    </xf>
    <xf numFmtId="176" fontId="21" fillId="4" borderId="16" xfId="0" applyNumberFormat="1" applyFont="1" applyFill="1" applyBorder="1" applyAlignment="1">
      <alignment horizontal="center" vertical="center"/>
    </xf>
    <xf numFmtId="179" fontId="21" fillId="4" borderId="37" xfId="0" applyNumberFormat="1" applyFont="1" applyFill="1" applyBorder="1" applyAlignment="1">
      <alignment horizontal="center" vertical="center"/>
    </xf>
    <xf numFmtId="0" fontId="21" fillId="4" borderId="35" xfId="0" applyFont="1" applyFill="1" applyBorder="1" applyAlignment="1">
      <alignment horizontal="center" vertical="center"/>
    </xf>
    <xf numFmtId="0" fontId="25" fillId="4" borderId="37" xfId="0" applyFont="1" applyFill="1" applyBorder="1" applyAlignment="1">
      <alignment horizontal="center" vertical="center"/>
    </xf>
    <xf numFmtId="181" fontId="26" fillId="0" borderId="0" xfId="0" applyNumberFormat="1" applyFont="1">
      <alignment vertical="center"/>
    </xf>
    <xf numFmtId="181" fontId="27" fillId="0" borderId="0" xfId="0" applyNumberFormat="1" applyFont="1">
      <alignment vertical="center"/>
    </xf>
    <xf numFmtId="0" fontId="28" fillId="0" borderId="0" xfId="0" applyFont="1">
      <alignment vertical="center"/>
    </xf>
    <xf numFmtId="0" fontId="23" fillId="0" borderId="31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183" fontId="0" fillId="0" borderId="13" xfId="0" applyNumberFormat="1" applyBorder="1">
      <alignment vertical="center"/>
    </xf>
    <xf numFmtId="181" fontId="0" fillId="0" borderId="13" xfId="0" applyNumberFormat="1" applyBorder="1">
      <alignment vertical="center"/>
    </xf>
    <xf numFmtId="181" fontId="23" fillId="0" borderId="28" xfId="0" applyNumberFormat="1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1" fillId="4" borderId="25" xfId="0" applyFont="1" applyFill="1" applyBorder="1" applyAlignment="1">
      <alignment horizontal="center" vertical="center"/>
    </xf>
    <xf numFmtId="0" fontId="21" fillId="4" borderId="36" xfId="0" applyFont="1" applyFill="1" applyBorder="1" applyAlignment="1">
      <alignment horizontal="center" vertical="center"/>
    </xf>
    <xf numFmtId="179" fontId="21" fillId="4" borderId="13" xfId="0" applyNumberFormat="1" applyFont="1" applyFill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0" fontId="23" fillId="11" borderId="29" xfId="0" applyFont="1" applyFill="1" applyBorder="1" applyAlignment="1">
      <alignment horizontal="center" vertical="center"/>
    </xf>
    <xf numFmtId="176" fontId="21" fillId="4" borderId="34" xfId="0" applyNumberFormat="1" applyFont="1" applyFill="1" applyBorder="1" applyAlignment="1">
      <alignment horizontal="center" vertical="center"/>
    </xf>
    <xf numFmtId="176" fontId="21" fillId="4" borderId="35" xfId="0" applyNumberFormat="1" applyFont="1" applyFill="1" applyBorder="1" applyAlignment="1">
      <alignment horizontal="center" vertical="center"/>
    </xf>
    <xf numFmtId="179" fontId="21" fillId="4" borderId="16" xfId="0" applyNumberFormat="1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41" fontId="5" fillId="5" borderId="13" xfId="0" applyNumberFormat="1" applyFont="1" applyFill="1" applyBorder="1" applyAlignment="1">
      <alignment horizontal="center" vertical="center"/>
    </xf>
    <xf numFmtId="41" fontId="8" fillId="5" borderId="13" xfId="0" applyNumberFormat="1" applyFont="1" applyFill="1" applyBorder="1" applyAlignment="1">
      <alignment horizontal="center" vertical="center"/>
    </xf>
    <xf numFmtId="180" fontId="0" fillId="4" borderId="13" xfId="0" applyNumberFormat="1" applyFill="1" applyBorder="1" applyAlignment="1">
      <alignment horizontal="center"/>
    </xf>
    <xf numFmtId="181" fontId="14" fillId="4" borderId="13" xfId="0" applyNumberFormat="1" applyFont="1" applyFill="1" applyBorder="1" applyAlignment="1">
      <alignment horizontal="center" vertical="center"/>
    </xf>
    <xf numFmtId="42" fontId="15" fillId="4" borderId="13" xfId="0" applyNumberFormat="1" applyFont="1" applyFill="1" applyBorder="1" applyAlignment="1">
      <alignment horizontal="center" vertical="center"/>
    </xf>
    <xf numFmtId="180" fontId="9" fillId="4" borderId="13" xfId="0" applyNumberFormat="1" applyFont="1" applyFill="1" applyBorder="1" applyAlignment="1"/>
    <xf numFmtId="42" fontId="14" fillId="4" borderId="13" xfId="0" applyNumberFormat="1" applyFont="1" applyFill="1" applyBorder="1" applyAlignment="1">
      <alignment horizontal="center" vertical="center"/>
    </xf>
    <xf numFmtId="9" fontId="14" fillId="4" borderId="13" xfId="0" applyNumberFormat="1" applyFont="1" applyFill="1" applyBorder="1" applyAlignment="1">
      <alignment horizontal="center" vertical="center"/>
    </xf>
    <xf numFmtId="179" fontId="14" fillId="4" borderId="13" xfId="0" applyNumberFormat="1" applyFont="1" applyFill="1" applyBorder="1" applyAlignment="1">
      <alignment horizontal="center" vertical="center"/>
    </xf>
    <xf numFmtId="179" fontId="11" fillId="4" borderId="13" xfId="0" applyNumberFormat="1" applyFont="1" applyFill="1" applyBorder="1">
      <alignment vertical="center"/>
    </xf>
    <xf numFmtId="42" fontId="16" fillId="4" borderId="13" xfId="0" applyNumberFormat="1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10" fontId="18" fillId="4" borderId="13" xfId="0" applyNumberFormat="1" applyFont="1" applyFill="1" applyBorder="1" applyAlignment="1">
      <alignment horizontal="center" vertical="center"/>
    </xf>
    <xf numFmtId="10" fontId="17" fillId="4" borderId="13" xfId="0" applyNumberFormat="1" applyFont="1" applyFill="1" applyBorder="1" applyAlignment="1">
      <alignment horizontal="center" vertical="center"/>
    </xf>
    <xf numFmtId="41" fontId="3" fillId="0" borderId="0" xfId="0" applyNumberFormat="1" applyFont="1">
      <alignment vertical="center"/>
    </xf>
    <xf numFmtId="41" fontId="9" fillId="0" borderId="0" xfId="0" applyNumberFormat="1" applyFont="1" applyAlignment="1">
      <alignment horizontal="right"/>
    </xf>
    <xf numFmtId="41" fontId="13" fillId="0" borderId="0" xfId="0" applyNumberFormat="1" applyFont="1">
      <alignment vertical="center"/>
    </xf>
    <xf numFmtId="41" fontId="12" fillId="0" borderId="0" xfId="0" applyNumberFormat="1" applyFont="1" applyAlignment="1">
      <alignment horizontal="right" vertical="center"/>
    </xf>
    <xf numFmtId="0" fontId="13" fillId="0" borderId="0" xfId="0" applyFont="1">
      <alignment vertical="center"/>
    </xf>
    <xf numFmtId="41" fontId="9" fillId="0" borderId="0" xfId="0" applyNumberFormat="1" applyFont="1" applyAlignment="1">
      <alignment horizontal="right" vertical="center"/>
    </xf>
    <xf numFmtId="41" fontId="5" fillId="5" borderId="26" xfId="0" applyNumberFormat="1" applyFont="1" applyFill="1" applyBorder="1" applyAlignment="1">
      <alignment horizontal="center" vertical="center"/>
    </xf>
    <xf numFmtId="41" fontId="6" fillId="5" borderId="26" xfId="0" applyNumberFormat="1" applyFont="1" applyFill="1" applyBorder="1" applyAlignment="1">
      <alignment horizontal="center" vertical="center"/>
    </xf>
    <xf numFmtId="41" fontId="7" fillId="5" borderId="26" xfId="0" applyNumberFormat="1" applyFont="1" applyFill="1" applyBorder="1" applyAlignment="1">
      <alignment horizontal="center" vertical="center"/>
    </xf>
    <xf numFmtId="41" fontId="6" fillId="6" borderId="26" xfId="0" applyNumberFormat="1" applyFont="1" applyFill="1" applyBorder="1" applyAlignment="1">
      <alignment horizontal="center" vertical="center"/>
    </xf>
    <xf numFmtId="41" fontId="8" fillId="5" borderId="26" xfId="0" applyNumberFormat="1" applyFont="1" applyFill="1" applyBorder="1" applyAlignment="1">
      <alignment horizontal="center" vertical="center"/>
    </xf>
    <xf numFmtId="183" fontId="0" fillId="0" borderId="24" xfId="0" applyNumberFormat="1" applyBorder="1">
      <alignment vertical="center"/>
    </xf>
    <xf numFmtId="181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182" fontId="0" fillId="0" borderId="25" xfId="0" applyNumberFormat="1" applyBorder="1">
      <alignment vertical="center"/>
    </xf>
    <xf numFmtId="179" fontId="32" fillId="4" borderId="13" xfId="3" applyNumberFormat="1" applyFont="1" applyFill="1" applyBorder="1" applyAlignment="1">
      <alignment horizontal="center" vertical="center"/>
    </xf>
    <xf numFmtId="179" fontId="32" fillId="4" borderId="13" xfId="3" applyNumberFormat="1" applyFont="1" applyFill="1" applyBorder="1" applyAlignment="1">
      <alignment horizontal="right" vertical="center"/>
    </xf>
    <xf numFmtId="179" fontId="0" fillId="0" borderId="13" xfId="0" applyNumberFormat="1" applyBorder="1" applyAlignment="1">
      <alignment horizontal="right" vertical="center"/>
    </xf>
    <xf numFmtId="179" fontId="33" fillId="4" borderId="13" xfId="3" applyNumberFormat="1" applyFont="1" applyFill="1" applyBorder="1" applyAlignment="1">
      <alignment horizontal="right"/>
    </xf>
    <xf numFmtId="42" fontId="15" fillId="4" borderId="13" xfId="0" applyNumberFormat="1" applyFont="1" applyFill="1" applyBorder="1" applyAlignment="1">
      <alignment horizontal="right" vertical="center"/>
    </xf>
    <xf numFmtId="179" fontId="11" fillId="4" borderId="13" xfId="0" applyNumberFormat="1" applyFont="1" applyFill="1" applyBorder="1" applyAlignment="1">
      <alignment horizontal="right" vertical="center"/>
    </xf>
    <xf numFmtId="179" fontId="10" fillId="4" borderId="13" xfId="0" applyNumberFormat="1" applyFont="1" applyFill="1" applyBorder="1" applyAlignment="1">
      <alignment horizontal="right" vertical="center"/>
    </xf>
    <xf numFmtId="0" fontId="0" fillId="12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3" borderId="2" xfId="0" applyFill="1" applyBorder="1">
      <alignment vertical="center"/>
    </xf>
    <xf numFmtId="181" fontId="0" fillId="13" borderId="19" xfId="0" applyNumberFormat="1" applyFill="1" applyBorder="1">
      <alignment vertical="center"/>
    </xf>
    <xf numFmtId="0" fontId="0" fillId="13" borderId="19" xfId="0" applyFill="1" applyBorder="1">
      <alignment vertical="center"/>
    </xf>
    <xf numFmtId="179" fontId="9" fillId="4" borderId="13" xfId="0" applyNumberFormat="1" applyFont="1" applyFill="1" applyBorder="1" applyAlignment="1">
      <alignment horizontal="center" vertical="center"/>
    </xf>
    <xf numFmtId="179" fontId="0" fillId="4" borderId="13" xfId="0" applyNumberFormat="1" applyFill="1" applyBorder="1" applyAlignment="1"/>
    <xf numFmtId="179" fontId="0" fillId="4" borderId="38" xfId="0" applyNumberFormat="1" applyFill="1" applyBorder="1" applyAlignment="1"/>
    <xf numFmtId="41" fontId="34" fillId="4" borderId="39" xfId="6" applyNumberFormat="1" applyFont="1" applyFill="1" applyBorder="1" applyAlignment="1">
      <alignment horizontal="center" vertical="center"/>
    </xf>
    <xf numFmtId="10" fontId="36" fillId="4" borderId="13" xfId="0" applyNumberFormat="1" applyFont="1" applyFill="1" applyBorder="1" applyAlignment="1">
      <alignment horizontal="center" vertical="center"/>
    </xf>
    <xf numFmtId="179" fontId="11" fillId="4" borderId="13" xfId="0" applyNumberFormat="1" applyFont="1" applyFill="1" applyBorder="1" applyAlignment="1"/>
    <xf numFmtId="179" fontId="0" fillId="0" borderId="26" xfId="0" applyNumberFormat="1" applyBorder="1">
      <alignment vertical="center"/>
    </xf>
    <xf numFmtId="179" fontId="0" fillId="0" borderId="28" xfId="0" applyNumberFormat="1" applyBorder="1">
      <alignment vertical="center"/>
    </xf>
    <xf numFmtId="41" fontId="8" fillId="14" borderId="26" xfId="0" applyNumberFormat="1" applyFont="1" applyFill="1" applyBorder="1" applyAlignment="1">
      <alignment horizontal="center" vertical="center"/>
    </xf>
    <xf numFmtId="181" fontId="12" fillId="4" borderId="13" xfId="0" applyNumberFormat="1" applyFont="1" applyFill="1" applyBorder="1" applyAlignment="1">
      <alignment horizontal="right" vertical="center"/>
    </xf>
    <xf numFmtId="186" fontId="0" fillId="0" borderId="0" xfId="0" applyNumberFormat="1" applyAlignment="1">
      <alignment horizontal="center" vertical="center"/>
    </xf>
    <xf numFmtId="186" fontId="24" fillId="0" borderId="0" xfId="0" applyNumberFormat="1" applyFont="1" applyAlignment="1">
      <alignment horizontal="center" vertical="center"/>
    </xf>
    <xf numFmtId="186" fontId="37" fillId="0" borderId="0" xfId="0" applyNumberFormat="1" applyFont="1" applyAlignment="1">
      <alignment horizontal="center" vertical="center"/>
    </xf>
    <xf numFmtId="180" fontId="0" fillId="0" borderId="0" xfId="0" applyNumberFormat="1">
      <alignment vertical="center"/>
    </xf>
    <xf numFmtId="186" fontId="0" fillId="0" borderId="13" xfId="0" applyNumberForma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3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186" fontId="0" fillId="0" borderId="13" xfId="0" applyNumberFormat="1" applyBorder="1" applyAlignment="1">
      <alignment horizontal="center" vertical="center"/>
    </xf>
    <xf numFmtId="186" fontId="0" fillId="0" borderId="27" xfId="0" applyNumberForma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186" fontId="0" fillId="0" borderId="0" xfId="0" applyNumberFormat="1">
      <alignment vertical="center"/>
    </xf>
    <xf numFmtId="179" fontId="0" fillId="0" borderId="13" xfId="0" applyNumberFormat="1" applyBorder="1" applyAlignment="1">
      <alignment horizontal="center" vertical="center"/>
    </xf>
    <xf numFmtId="197" fontId="0" fillId="0" borderId="13" xfId="0" applyNumberFormat="1" applyBorder="1">
      <alignment vertical="center"/>
    </xf>
    <xf numFmtId="181" fontId="0" fillId="8" borderId="52" xfId="0" applyNumberFormat="1" applyFill="1" applyBorder="1">
      <alignment vertical="center"/>
    </xf>
    <xf numFmtId="38" fontId="9" fillId="4" borderId="49" xfId="53" applyNumberFormat="1" applyFont="1" applyFill="1" applyBorder="1" applyAlignment="1">
      <alignment horizontal="center" vertical="center"/>
    </xf>
    <xf numFmtId="38" fontId="9" fillId="38" borderId="49" xfId="53" applyNumberFormat="1" applyFont="1" applyFill="1" applyBorder="1" applyAlignment="1">
      <alignment horizontal="center" vertical="center"/>
    </xf>
    <xf numFmtId="38" fontId="9" fillId="37" borderId="49" xfId="53" applyNumberFormat="1" applyFont="1" applyFill="1" applyBorder="1" applyAlignment="1">
      <alignment horizontal="center" vertical="center"/>
    </xf>
    <xf numFmtId="38" fontId="9" fillId="0" borderId="49" xfId="53" applyNumberFormat="1" applyFont="1" applyBorder="1" applyAlignment="1">
      <alignment horizontal="center" vertical="center"/>
    </xf>
  </cellXfs>
  <cellStyles count="57">
    <cellStyle name="20% - 강조색1 2" xfId="10" xr:uid="{4218C762-3ED1-4F37-9FF7-97AE7BB18E7F}"/>
    <cellStyle name="20% - 강조색2 2" xfId="11" xr:uid="{71FB930A-6AA9-41F4-B418-43504490AFB8}"/>
    <cellStyle name="20% - 강조색3 2" xfId="12" xr:uid="{411C4667-4CD7-4082-9A68-05F768EA1077}"/>
    <cellStyle name="20% - 강조색4 2" xfId="13" xr:uid="{9D680F1C-B93A-4F88-86E9-DD7850DA8B4C}"/>
    <cellStyle name="20% - 강조색5 2" xfId="14" xr:uid="{1E34E2B7-CD4E-40A0-84F3-C41E79D3FB04}"/>
    <cellStyle name="20% - 강조색6 2" xfId="15" xr:uid="{1DD37883-B240-4F03-BDB0-8D983F90B28A}"/>
    <cellStyle name="40% - 강조색1 2" xfId="16" xr:uid="{460A10EF-012C-4A07-8EF6-211485781125}"/>
    <cellStyle name="40% - 강조색2 2" xfId="17" xr:uid="{4444410D-38B5-4FB7-8EF9-76A31A215648}"/>
    <cellStyle name="40% - 강조색3 2" xfId="18" xr:uid="{E2308CBF-36DF-465B-A34D-10758AB3973B}"/>
    <cellStyle name="40% - 강조색4 2" xfId="19" xr:uid="{5F8B4B9F-60B6-437B-8FEE-A4B7BBA5FF38}"/>
    <cellStyle name="40% - 강조색5 2" xfId="20" xr:uid="{461BA522-683F-4AA1-B2DD-0F4F8A2ACDCF}"/>
    <cellStyle name="40% - 강조색6 2" xfId="21" xr:uid="{8CFB0A2E-DB4A-4AED-88F7-D122E01F729A}"/>
    <cellStyle name="60% - 강조색1 2" xfId="22" xr:uid="{1C2F6330-2908-4DBE-9FAA-65B1A152F3F7}"/>
    <cellStyle name="60% - 강조색2 2" xfId="23" xr:uid="{E389D3DF-81C0-4342-B76B-513B69F425D5}"/>
    <cellStyle name="60% - 강조색3 2" xfId="24" xr:uid="{2486C753-F1F9-42F7-8AF2-1B78B73AC090}"/>
    <cellStyle name="60% - 강조색4 2" xfId="25" xr:uid="{EFA906A2-0267-4F59-B555-E5F1D79E9E2D}"/>
    <cellStyle name="60% - 강조색5 2" xfId="26" xr:uid="{B4375C65-4872-4A3F-AAF8-90CA7AA17F35}"/>
    <cellStyle name="60% - 강조색6 2" xfId="27" xr:uid="{057FF3FF-3C57-4FB2-B77D-D73D05D95885}"/>
    <cellStyle name="강조색1 2" xfId="28" xr:uid="{D173F9CD-2118-44B3-B183-593FD9983FD1}"/>
    <cellStyle name="강조색2 2" xfId="29" xr:uid="{3B5576AD-C844-442D-B327-55078F48D31F}"/>
    <cellStyle name="강조색3 2" xfId="30" xr:uid="{73C673FF-094A-4392-9AD2-065B904259EB}"/>
    <cellStyle name="강조색4 2" xfId="31" xr:uid="{EF468462-D14D-44A9-8DEB-E13A9FAF0CE7}"/>
    <cellStyle name="강조색5 2" xfId="32" xr:uid="{1D3A4DDC-BD22-4B03-A409-CDE7FDD8ADA9}"/>
    <cellStyle name="강조색6 2" xfId="33" xr:uid="{7EFD348C-DBEB-47AA-84D8-2EA48D110BBE}"/>
    <cellStyle name="경고문 2" xfId="34" xr:uid="{CBE1DF1F-46A7-4217-970C-48AD62DE6EEC}"/>
    <cellStyle name="계산 2" xfId="35" xr:uid="{9DE71354-1A07-43B3-A085-9F8E95802C2B}"/>
    <cellStyle name="계산 3" xfId="54" xr:uid="{08A18CA9-C084-4B06-8C4F-3CD0043594AA}"/>
    <cellStyle name="나쁨 2" xfId="36" xr:uid="{A2C08B30-8350-4378-9C4E-B06C59FA1822}"/>
    <cellStyle name="메모 2" xfId="37" xr:uid="{3001F717-085C-4EBD-8419-5A0B99B26D05}"/>
    <cellStyle name="메모 3" xfId="55" xr:uid="{79D98F53-FB52-4544-BD2B-236489CE2C8C}"/>
    <cellStyle name="백분율" xfId="5" builtinId="5"/>
    <cellStyle name="보통 2" xfId="38" xr:uid="{841384DF-60EF-4B32-8111-15FE5BABB4FF}"/>
    <cellStyle name="설명 텍스트 2" xfId="39" xr:uid="{3EE9FA7E-06E3-41BF-A022-EA15A4EFEB95}"/>
    <cellStyle name="셀 확인 2" xfId="40" xr:uid="{5231A35A-9F8D-41B7-AA97-CDB7B995B6F0}"/>
    <cellStyle name="쉼표 [0]" xfId="4" builtinId="6"/>
    <cellStyle name="쉼표 [0] 2" xfId="1" xr:uid="{00000000-0005-0000-0000-000002000000}"/>
    <cellStyle name="쉼표 [0] 2 2" xfId="7" xr:uid="{5732F17F-1A8E-4381-86FF-2A2AE34F024A}"/>
    <cellStyle name="쉼표 [0] 3" xfId="8" xr:uid="{57271674-342C-4B0F-9C49-D72F6D55FA89}"/>
    <cellStyle name="쉼표 [0] 4" xfId="41" xr:uid="{92872E7E-EEFD-4159-BD7E-6FDDC296405A}"/>
    <cellStyle name="연결된 셀 2" xfId="42" xr:uid="{4FC52799-1E55-47C0-A645-0E4D16F0B8A8}"/>
    <cellStyle name="요약 2" xfId="43" xr:uid="{B8E6EA0A-F07B-4803-8F7F-9A2DC78085BD}"/>
    <cellStyle name="입력 2" xfId="44" xr:uid="{22204DCA-07FA-49D3-A316-4033169AA9DF}"/>
    <cellStyle name="입력 3" xfId="56" xr:uid="{4DD2BAA1-2F0F-41CD-9E7B-5E3E383DD678}"/>
    <cellStyle name="제목 1 2" xfId="46" xr:uid="{5ED6F5DB-B9D2-4A67-A1A5-C99FA709D81A}"/>
    <cellStyle name="제목 2 2" xfId="47" xr:uid="{22002C1D-DB66-407D-9C4D-0F810BFC0298}"/>
    <cellStyle name="제목 3 2" xfId="48" xr:uid="{CC0ADC14-8C58-47EA-A2F1-CC0B2568ED25}"/>
    <cellStyle name="제목 4 2" xfId="49" xr:uid="{A63A1D81-5CD7-4115-A596-4612C3E0CEEC}"/>
    <cellStyle name="제목 5" xfId="45" xr:uid="{B783FD3A-32C8-458E-B838-CAF6192A16E3}"/>
    <cellStyle name="좋음 2" xfId="50" xr:uid="{828028C3-DE93-4F6C-AA48-84994FD693C3}"/>
    <cellStyle name="출력 2" xfId="51" xr:uid="{9E066628-1059-4C18-8665-F20990F8D386}"/>
    <cellStyle name="통화 [0]" xfId="6" builtinId="7"/>
    <cellStyle name="통화 [0] 2" xfId="52" xr:uid="{82CF5B18-796E-4E2C-B2EC-0A834ACF59C4}"/>
    <cellStyle name="표준" xfId="0" builtinId="0"/>
    <cellStyle name="표준 2" xfId="2" xr:uid="{00000000-0005-0000-0000-000004000000}"/>
    <cellStyle name="표준 2 2" xfId="53" xr:uid="{903D461C-CE31-4734-ABF3-9953459035FA}"/>
    <cellStyle name="표준 3" xfId="3" xr:uid="{00000000-0005-0000-0000-000005000000}"/>
    <cellStyle name="표준 4" xfId="9" xr:uid="{4B2C6D89-B4A9-46A5-8AF3-6DEB0E251BBD}"/>
  </cellStyles>
  <dxfs count="31"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zoomScaleNormal="100" workbookViewId="0">
      <selection activeCell="D19" sqref="D19"/>
    </sheetView>
  </sheetViews>
  <sheetFormatPr defaultRowHeight="16.5"/>
  <cols>
    <col min="3" max="3" width="11.625" bestFit="1" customWidth="1"/>
    <col min="4" max="4" width="11.875" bestFit="1" customWidth="1"/>
    <col min="8" max="8" width="15.75" customWidth="1"/>
    <col min="10" max="10" width="11.625" bestFit="1" customWidth="1"/>
    <col min="16" max="16" width="9.875" bestFit="1" customWidth="1"/>
    <col min="19" max="19" width="10.5" bestFit="1" customWidth="1"/>
    <col min="20" max="20" width="13.125" bestFit="1" customWidth="1"/>
  </cols>
  <sheetData>
    <row r="1" spans="1:20">
      <c r="C1" s="40"/>
      <c r="D1" s="45"/>
    </row>
    <row r="2" spans="1:20">
      <c r="B2" s="124" t="s">
        <v>30</v>
      </c>
      <c r="C2" s="42">
        <v>44973</v>
      </c>
      <c r="D2" s="48"/>
    </row>
    <row r="3" spans="1:20" ht="8.25" customHeight="1">
      <c r="B3" s="47"/>
      <c r="C3" s="52"/>
      <c r="D3" s="50"/>
    </row>
    <row r="4" spans="1:20">
      <c r="B4" s="122" t="s">
        <v>36</v>
      </c>
      <c r="C4" s="123"/>
      <c r="D4" s="123"/>
      <c r="E4" s="123"/>
      <c r="F4" s="122" t="s">
        <v>33</v>
      </c>
      <c r="G4" s="123"/>
      <c r="H4" s="123"/>
      <c r="I4" s="123"/>
      <c r="J4" s="123"/>
      <c r="K4" s="152" t="s">
        <v>56</v>
      </c>
      <c r="L4" s="152"/>
      <c r="M4" s="152"/>
      <c r="N4" s="152"/>
      <c r="O4" s="152"/>
      <c r="P4" s="123"/>
    </row>
    <row r="5" spans="1:20" ht="16.5" customHeight="1">
      <c r="B5" s="122" t="s">
        <v>39</v>
      </c>
      <c r="C5" s="122" t="s">
        <v>40</v>
      </c>
      <c r="D5" s="122" t="s">
        <v>62</v>
      </c>
      <c r="E5" s="123"/>
      <c r="F5" s="122" t="s">
        <v>39</v>
      </c>
      <c r="G5" s="122" t="s">
        <v>40</v>
      </c>
      <c r="H5" s="122" t="s">
        <v>62</v>
      </c>
      <c r="I5" s="123"/>
      <c r="J5" s="122" t="s">
        <v>58</v>
      </c>
      <c r="K5" s="122" t="s">
        <v>51</v>
      </c>
      <c r="L5" s="122" t="s">
        <v>52</v>
      </c>
      <c r="M5" s="122" t="s">
        <v>53</v>
      </c>
      <c r="N5" s="122" t="s">
        <v>54</v>
      </c>
      <c r="O5" s="122" t="s">
        <v>55</v>
      </c>
      <c r="P5" s="122" t="s">
        <v>57</v>
      </c>
    </row>
    <row r="6" spans="1:20" ht="16.5" customHeight="1">
      <c r="A6" s="125" t="s">
        <v>42</v>
      </c>
      <c r="B6" s="126" t="s">
        <v>3</v>
      </c>
      <c r="C6" s="41">
        <f>IFERROR(INDEX('출퇴근 및 급여'!$A$2:$BX$41,MATCH(보고서!$C$2,'출퇴근 및 급여'!$A$2:$A$41,0),MATCH(보고서!B6, '출퇴근 및 급여'!$A$2:$BX$2,0)),"")</f>
        <v>1</v>
      </c>
      <c r="D6" s="72">
        <v>0</v>
      </c>
      <c r="F6" s="126" t="s">
        <v>3</v>
      </c>
      <c r="G6" s="41">
        <f>IFERROR(HLOOKUP(F6,'출퇴근 및 급여'!$B$2:$M$35,34,FALSE),"")</f>
        <v>19</v>
      </c>
      <c r="H6" s="72">
        <v>0</v>
      </c>
      <c r="J6" s="72" cm="1">
        <f t="array" ref="J6">IFERROR(INDEX('출퇴근 및 급여'!$A$2:$BU$41,MATCH("총 지급액",'출퇴근 및 급여'!$A$2:$A$41,0),MATCH(보고서!F6, '출퇴근 및 급여'!$A$2:$BU$2,0)+1),"")</f>
        <v>1968500</v>
      </c>
      <c r="K6" s="72"/>
      <c r="L6" s="72"/>
      <c r="M6" s="72"/>
      <c r="N6" s="72"/>
      <c r="O6" s="72"/>
      <c r="P6" s="72">
        <f>IFERROR(J6-K6-L6-M6-N6-O6,"")</f>
        <v>1968500</v>
      </c>
    </row>
    <row r="7" spans="1:20" ht="16.5" customHeight="1">
      <c r="A7" s="125"/>
      <c r="B7" s="126" t="s">
        <v>63</v>
      </c>
      <c r="C7" s="41">
        <f>IFERROR(INDEX('출퇴근 및 급여'!$A$2:$BX$41,MATCH(보고서!$C$2,'출퇴근 및 급여'!$A$2:$A$41,0),MATCH(보고서!B7, '출퇴근 및 급여'!$A$2:$BX$2,0)),"")</f>
        <v>1</v>
      </c>
      <c r="D7" s="72">
        <v>0</v>
      </c>
      <c r="F7" s="126" t="s">
        <v>63</v>
      </c>
      <c r="G7" s="41">
        <f>IFERROR(HLOOKUP(F7,'출퇴근 및 급여'!$B$2:$M$35,34,FALSE),"")</f>
        <v>13</v>
      </c>
      <c r="H7" s="72">
        <v>0</v>
      </c>
      <c r="J7" s="72" cm="1">
        <f t="array" ref="J7">IFERROR(INDEX('출퇴근 및 급여'!$A$2:$BU$41,MATCH("총 지급액",'출퇴근 및 급여'!$A$2:$A$41,0),MATCH(보고서!F7, '출퇴근 및 급여'!$A$2:$BU$2,0)+1),"")</f>
        <v>1032600</v>
      </c>
      <c r="K7" s="72"/>
      <c r="L7" s="72"/>
      <c r="M7" s="72"/>
      <c r="N7" s="72"/>
      <c r="O7" s="72"/>
      <c r="P7" s="72">
        <f t="shared" ref="P7:P23" si="0">IFERROR(J7-K7-L7-M7-N7-O7,"")</f>
        <v>1032600</v>
      </c>
    </row>
    <row r="8" spans="1:20" ht="16.5" customHeight="1">
      <c r="A8" s="125"/>
      <c r="B8" s="126"/>
      <c r="C8" s="41" t="str">
        <f>IFERROR(INDEX('출퇴근 및 급여'!$A$2:$BX$41,MATCH(보고서!$C$2,'출퇴근 및 급여'!$A$2:$A$41,0),MATCH(보고서!B8, '출퇴근 및 급여'!$A$2:$BX$2,0)),"")</f>
        <v/>
      </c>
      <c r="D8" s="72"/>
      <c r="F8" s="126"/>
      <c r="G8" s="41" t="str">
        <f>IFERROR(HLOOKUP(F8,'출퇴근 및 급여'!$B$2:$M$35,34,FALSE),"")</f>
        <v/>
      </c>
      <c r="H8" s="72">
        <v>0</v>
      </c>
      <c r="J8" s="72" t="str" cm="1">
        <f t="array" ref="J8">IFERROR(INDEX('출퇴근 및 급여'!$A$2:$BU$41,MATCH("총 지급액",'출퇴근 및 급여'!$A$2:$A$41,0),MATCH(보고서!F8, '출퇴근 및 급여'!$A$2:$BU$2,0)+1),"")</f>
        <v/>
      </c>
      <c r="K8" s="72"/>
      <c r="L8" s="72"/>
      <c r="M8" s="72"/>
      <c r="N8" s="72"/>
      <c r="O8" s="72"/>
      <c r="P8" s="72" t="str">
        <f t="shared" si="0"/>
        <v/>
      </c>
    </row>
    <row r="9" spans="1:20" ht="16.5" customHeight="1">
      <c r="A9" s="125"/>
      <c r="B9" s="126"/>
      <c r="C9" s="41" t="str">
        <f>IFERROR(INDEX('출퇴근 및 급여'!$A$2:$BX$41,MATCH(보고서!$C$2,'출퇴근 및 급여'!$A$2:$A$41,0),MATCH(보고서!B9, '출퇴근 및 급여'!$A$2:$BX$2,0)),"")</f>
        <v/>
      </c>
      <c r="D9" s="72"/>
      <c r="F9" s="126"/>
      <c r="G9" s="41" t="str">
        <f>IFERROR(HLOOKUP(F9,'출퇴근 및 급여'!$B$2:$M$35,34,FALSE),"")</f>
        <v/>
      </c>
      <c r="H9" s="72"/>
      <c r="J9" s="72"/>
      <c r="K9" s="72"/>
      <c r="L9" s="72"/>
      <c r="M9" s="72"/>
      <c r="N9" s="72"/>
      <c r="O9" s="72"/>
      <c r="P9" s="72"/>
    </row>
    <row r="10" spans="1:20" ht="16.5" customHeight="1">
      <c r="A10" s="125"/>
      <c r="B10" s="126"/>
      <c r="C10" s="41" t="str">
        <f>IFERROR(INDEX('출퇴근 및 급여'!$A$2:$BX$41,MATCH(보고서!$C$2,'출퇴근 및 급여'!$A$2:$A$41,0),MATCH(보고서!B10, '출퇴근 및 급여'!$A$2:$BX$2,0)),"")</f>
        <v/>
      </c>
      <c r="D10" s="72" t="str">
        <f>IFERROR(INDEX(직원인센!$A$2:$K$34,MATCH(보고서!$C$2,직원인센!$A$2:$A$34,0),MATCH(보고서!B10,직원인센!$A$2:$K$2,0)),"")</f>
        <v/>
      </c>
      <c r="F10" s="126"/>
      <c r="G10" s="41" t="str">
        <f>IFERROR(HLOOKUP(F10,'출퇴근 및 급여'!$B$2:$M$35,34,FALSE),"")</f>
        <v/>
      </c>
      <c r="H10" s="72" t="str">
        <f>IFERROR(HLOOKUP(보고서!F10,직원인센!$A$2:$K$35,34,FALSE),"")</f>
        <v/>
      </c>
      <c r="J10" s="72" t="str" cm="1">
        <f t="array" ref="J10">IFERROR(INDEX('출퇴근 및 급여'!$A$2:$BU$41,MATCH("총 지급액",'출퇴근 및 급여'!$A$2:$A$41,0),MATCH(보고서!F10, '출퇴근 및 급여'!$A$2:$BU$2,0)+1),"")</f>
        <v/>
      </c>
      <c r="K10" s="72"/>
      <c r="L10" s="72"/>
      <c r="M10" s="72"/>
      <c r="N10" s="72"/>
      <c r="O10" s="72"/>
      <c r="P10" s="72" t="str">
        <f>IFERROR(J10-K10-L10-M10-N10-O10,"")</f>
        <v/>
      </c>
    </row>
    <row r="11" spans="1:20" ht="16.5" customHeight="1">
      <c r="A11" s="123"/>
      <c r="B11" s="127"/>
      <c r="C11" s="47"/>
      <c r="D11" s="111"/>
      <c r="F11" s="127"/>
      <c r="G11" s="47"/>
      <c r="H11" s="47"/>
      <c r="J11" s="112"/>
      <c r="K11" s="112"/>
      <c r="L11" s="112"/>
      <c r="M11" s="112"/>
      <c r="N11" s="112"/>
      <c r="O11" s="112"/>
      <c r="P11" s="112"/>
      <c r="R11" s="41" t="s">
        <v>24</v>
      </c>
      <c r="S11" s="113" t="s">
        <v>59</v>
      </c>
      <c r="T11" t="s">
        <v>60</v>
      </c>
    </row>
    <row r="12" spans="1:20" ht="16.5" customHeight="1">
      <c r="A12" s="128" t="s">
        <v>43</v>
      </c>
      <c r="B12" s="129" t="s">
        <v>64</v>
      </c>
      <c r="C12" s="41" cm="1">
        <f t="array" ref="C12">IFERROR(INDEX('출퇴근 및 급여'!$A$2:$BX$41,MATCH(보고서!$C$2,'출퇴근 및 급여'!$A$2:$A$41,0),MATCH(보고서!B12, '출퇴근 및 급여'!$A$2:$BX$2,0)+2),"")</f>
        <v>4.9999999999999982</v>
      </c>
      <c r="D12" s="71">
        <f>IFERROR(HLOOKUP(B12,파트인센!$C$32:$AC$36,3,FALSE),"")</f>
        <v>14.8</v>
      </c>
      <c r="F12" s="129" t="s">
        <v>64</v>
      </c>
      <c r="G12" s="41" cm="1">
        <f t="array" ref="G12">IFERROR(INDEX('출퇴근 및 급여'!$A$2:$BU$41,MATCH("총근무시간",'출퇴근 및 급여'!$A$2:$A$41,0),MATCH(보고서!B12, '출퇴근 및 급여'!$A$2:$BU$2,0)+2),"")</f>
        <v>72</v>
      </c>
      <c r="H12" s="41">
        <f>IFERROR(HLOOKUP(B12,'출퇴근 및 급여'!$J$2:$BU$37,36,FALSE),0)</f>
        <v>75.45</v>
      </c>
      <c r="J12" s="72" cm="1">
        <f t="array" ref="J12">IFERROR(INDEX('출퇴근 및 급여'!$A$2:$BU$41,MATCH("총 지급액",'출퇴근 및 급여'!$A$2:$A$41,0),MATCH(보고서!F12, '출퇴근 및 급여'!$A$2:$BU$2,0)+3),"")</f>
        <v>3788800</v>
      </c>
      <c r="K12" s="72"/>
      <c r="L12" s="72"/>
      <c r="M12" s="72"/>
      <c r="N12" s="72"/>
      <c r="O12" s="72"/>
      <c r="P12" s="72">
        <f t="shared" si="0"/>
        <v>3788800</v>
      </c>
      <c r="R12" s="43">
        <v>43939.393939393936</v>
      </c>
      <c r="S12" s="114">
        <f>IFERROR((H12/G12*1000000)/R12,0)</f>
        <v>23.849137931034484</v>
      </c>
    </row>
    <row r="13" spans="1:20" ht="16.5" customHeight="1">
      <c r="A13" s="128"/>
      <c r="B13" s="129" t="s">
        <v>65</v>
      </c>
      <c r="C13" s="41" t="str" cm="1">
        <f t="array" ref="C13">IFERROR(INDEX('출퇴근 및 급여'!$A$2:$BX$41,MATCH(보고서!$C$2,'출퇴근 및 급여'!$A$2:$A$41,0),MATCH(보고서!B13, '출퇴근 및 급여'!$A$2:$BX$2,0)+2),"")</f>
        <v>休</v>
      </c>
      <c r="D13" s="71">
        <f>IFERROR(HLOOKUP(B13,파트인센!$C$32:$AC$36,3,FALSE),"")</f>
        <v>0</v>
      </c>
      <c r="F13" s="129" t="s">
        <v>65</v>
      </c>
      <c r="G13" s="41" cm="1">
        <f t="array" ref="G13">IFERROR(INDEX('출퇴근 및 급여'!$A$2:$BU$41,MATCH("총근무시간",'출퇴근 및 급여'!$A$2:$A$41,0),MATCH(보고서!B13, '출퇴근 및 급여'!$A$2:$BU$2,0)+2),"")</f>
        <v>27.999999999999989</v>
      </c>
      <c r="H13" s="41">
        <f>IFERROR(HLOOKUP(B13,'출퇴근 및 급여'!$J$2:$BU$37,36,FALSE),0)</f>
        <v>19.5</v>
      </c>
      <c r="J13" s="72" cm="1">
        <f t="array" ref="J13">IFERROR(INDEX('출퇴근 및 급여'!$A$2:$BU$41,MATCH("총 지급액",'출퇴근 및 급여'!$A$2:$A$41,0),MATCH(보고서!F13, '출퇴근 및 급여'!$A$2:$BU$2,0)+3),"")</f>
        <v>1542300</v>
      </c>
      <c r="K13" s="72"/>
      <c r="L13" s="72"/>
      <c r="M13" s="72"/>
      <c r="N13" s="72"/>
      <c r="O13" s="72"/>
      <c r="P13" s="72">
        <f t="shared" si="0"/>
        <v>1542300</v>
      </c>
      <c r="R13" s="43">
        <v>50000</v>
      </c>
      <c r="S13" s="114">
        <f>IFERROR((H13/G13*1000000)/R13,0)</f>
        <v>13.928571428571434</v>
      </c>
    </row>
    <row r="14" spans="1:20" ht="16.5" customHeight="1">
      <c r="A14" s="128"/>
      <c r="B14" s="129" t="s">
        <v>66</v>
      </c>
      <c r="C14" s="41" t="str" cm="1">
        <f t="array" ref="C14">IFERROR(INDEX('출퇴근 및 급여'!$A$2:$BX$41,MATCH(보고서!$C$2,'출퇴근 및 급여'!$A$2:$A$41,0),MATCH(보고서!B14, '출퇴근 및 급여'!$A$2:$BX$2,0)+2),"")</f>
        <v>休</v>
      </c>
      <c r="D14" s="71">
        <f>IFERROR(HLOOKUP(B14,파트인센!$C$32:$AC$36,3,FALSE),"")</f>
        <v>0</v>
      </c>
      <c r="F14" s="129" t="s">
        <v>66</v>
      </c>
      <c r="G14" s="41" cm="1">
        <f t="array" ref="G14">IFERROR(INDEX('출퇴근 및 급여'!$A$2:$BU$41,MATCH("총근무시간",'출퇴근 및 급여'!$A$2:$A$41,0),MATCH(보고서!B14, '출퇴근 및 급여'!$A$2:$BU$2,0)+2),"")</f>
        <v>35</v>
      </c>
      <c r="H14" s="41">
        <f>IFERROR(HLOOKUP(B14,'출퇴근 및 급여'!$J$2:$BU$37,36,FALSE),0)</f>
        <v>12</v>
      </c>
      <c r="J14" s="72" cm="1">
        <f t="array" ref="J14">IFERROR(INDEX('출퇴근 및 급여'!$A$2:$BU$41,MATCH("총 지급액",'출퇴근 및 급여'!$A$2:$A$41,0),MATCH(보고서!F14, '출퇴근 및 급여'!$A$2:$BU$2,0)+3),"")</f>
        <v>1368300</v>
      </c>
      <c r="K14" s="72"/>
      <c r="L14" s="72"/>
      <c r="M14" s="72"/>
      <c r="N14" s="72"/>
      <c r="O14" s="72"/>
      <c r="P14" s="72">
        <f t="shared" si="0"/>
        <v>1368300</v>
      </c>
      <c r="R14" s="140">
        <v>37000</v>
      </c>
      <c r="S14" s="114">
        <f>IFERROR((H14/G14*1000000)/R14,0)</f>
        <v>9.2664092664092657</v>
      </c>
    </row>
    <row r="15" spans="1:20" ht="16.5" customHeight="1">
      <c r="A15" s="128"/>
      <c r="B15" s="129" t="s">
        <v>74</v>
      </c>
      <c r="C15" s="41" cm="1">
        <f t="array" ref="C15">IFERROR(INDEX('출퇴근 및 급여'!$A$2:$BX$41,MATCH(보고서!$C$2,'출퇴근 및 급여'!$A$2:$A$41,0),MATCH(보고서!B15, '출퇴근 및 급여'!$A$2:$BX$2,0)+2),"")</f>
        <v>3.9999999999999991</v>
      </c>
      <c r="D15" s="71">
        <f>IFERROR(HLOOKUP(B15,파트인센!$C$32:$AC$36,3,FALSE),"")</f>
        <v>0</v>
      </c>
      <c r="F15" s="129" t="s">
        <v>74</v>
      </c>
      <c r="G15" s="41" cm="1">
        <f t="array" ref="G15">IFERROR(INDEX('출퇴근 및 급여'!$A$2:$BU$41,MATCH("총근무시간",'출퇴근 및 급여'!$A$2:$A$41,0),MATCH(보고서!B15, '출퇴근 및 급여'!$A$2:$BU$2,0)+2),"")</f>
        <v>27.499999999999993</v>
      </c>
      <c r="H15" s="41">
        <f>IFERROR(HLOOKUP(B15,'출퇴근 및 급여'!$J$2:$BU$37,36,FALSE),0)</f>
        <v>11.9</v>
      </c>
      <c r="J15" s="72" cm="1">
        <f t="array" ref="J15">IFERROR(INDEX('출퇴근 및 급여'!$A$2:$BU$41,MATCH("총 지급액",'출퇴근 및 급여'!$A$2:$A$41,0),MATCH(보고서!F15, '출퇴근 및 급여'!$A$2:$BU$2,0)+3),"")</f>
        <v>992600</v>
      </c>
      <c r="K15" s="72"/>
      <c r="L15" s="72"/>
      <c r="M15" s="72"/>
      <c r="N15" s="72"/>
      <c r="O15" s="72"/>
      <c r="P15" s="72">
        <f t="shared" si="0"/>
        <v>992600</v>
      </c>
      <c r="R15" s="43">
        <v>33000</v>
      </c>
      <c r="S15" s="114">
        <f>IFERROR((H15/G15*1000000)/R15,0)</f>
        <v>13.112947658402208</v>
      </c>
    </row>
    <row r="16" spans="1:20" ht="16.5" customHeight="1">
      <c r="A16" s="128"/>
      <c r="B16" s="129" t="s">
        <v>67</v>
      </c>
      <c r="C16" s="41" t="str" cm="1">
        <f t="array" ref="C16">IFERROR(INDEX('출퇴근 및 급여'!$A$2:$BX$41,MATCH(보고서!$C$2,'출퇴근 및 급여'!$A$2:$A$41,0),MATCH(보고서!B16, '출퇴근 및 급여'!$A$2:$BX$2,0)+2),"")</f>
        <v>休</v>
      </c>
      <c r="D16" s="71">
        <f>IFERROR(HLOOKUP(B16,파트인센!$C$32:$AC$36,3,FALSE),"")</f>
        <v>0</v>
      </c>
      <c r="F16" s="129" t="s">
        <v>67</v>
      </c>
      <c r="G16" s="41" cm="1">
        <f t="array" ref="G16">IFERROR(INDEX('출퇴근 및 급여'!$A$2:$BU$41,MATCH("총근무시간",'출퇴근 및 급여'!$A$2:$A$41,0),MATCH(보고서!B16, '출퇴근 및 급여'!$A$2:$BU$2,0)+2),"")</f>
        <v>23.999999999999996</v>
      </c>
      <c r="H16" s="41">
        <f>IFERROR(HLOOKUP(B16,'출퇴근 및 급여'!$J$2:$BU$37,36,FALSE),0)</f>
        <v>11.5</v>
      </c>
      <c r="J16" s="72" cm="1">
        <f t="array" ref="J16">IFERROR(INDEX('출퇴근 및 급여'!$A$2:$BU$41,MATCH("총 지급액",'출퇴근 및 급여'!$A$2:$A$41,0),MATCH(보고서!F16, '출퇴근 및 급여'!$A$2:$BU$2,0)+3),"")</f>
        <v>1155500</v>
      </c>
      <c r="K16" s="72"/>
      <c r="L16" s="72"/>
      <c r="M16" s="72"/>
      <c r="N16" s="72"/>
      <c r="O16" s="72"/>
      <c r="P16" s="72">
        <f t="shared" si="0"/>
        <v>1155500</v>
      </c>
      <c r="R16" s="141">
        <v>45000</v>
      </c>
      <c r="S16" s="114">
        <f>IFERROR((H16/G16*1000000)/R16,0)</f>
        <v>10.648148148148151</v>
      </c>
    </row>
    <row r="17" spans="1:19" ht="16.5" customHeight="1">
      <c r="A17" s="128"/>
      <c r="B17" s="129" t="s">
        <v>68</v>
      </c>
      <c r="C17" s="41" cm="1">
        <f t="array" ref="C17">IFERROR(INDEX('출퇴근 및 급여'!$A$2:$BX$41,MATCH(보고서!$C$2,'출퇴근 및 급여'!$A$2:$A$41,0),MATCH(보고서!B17, '출퇴근 및 급여'!$A$2:$BX$2,0)+2),"")</f>
        <v>3.4999999999999982</v>
      </c>
      <c r="D17" s="71">
        <f>IFERROR(HLOOKUP(B17,파트인센!$C$32:$AC$36,3,FALSE),"")</f>
        <v>0.5</v>
      </c>
      <c r="F17" s="129" t="s">
        <v>68</v>
      </c>
      <c r="G17" s="41" cm="1">
        <f t="array" ref="G17">IFERROR(INDEX('출퇴근 및 급여'!$A$2:$BU$41,MATCH("총근무시간",'출퇴근 및 급여'!$A$2:$A$41,0),MATCH(보고서!B17, '출퇴근 및 급여'!$A$2:$BU$2,0)+2),"")</f>
        <v>27.999999999999993</v>
      </c>
      <c r="H17" s="41">
        <f>IFERROR(HLOOKUP(B17,'출퇴근 및 급여'!$J$2:$BU$37,36,FALSE),0)</f>
        <v>1.5</v>
      </c>
      <c r="J17" s="72" cm="1">
        <f t="array" ref="J17">IFERROR(INDEX('출퇴근 및 급여'!$A$2:$BU$41,MATCH("총 지급액",'출퇴근 및 급여'!$A$2:$A$41,0),MATCH(보고서!F17, '출퇴근 및 급여'!$A$2:$BU$2,0)+3),"")</f>
        <v>1232900</v>
      </c>
      <c r="K17" s="72"/>
      <c r="L17" s="72"/>
      <c r="M17" s="72"/>
      <c r="N17" s="72"/>
      <c r="O17" s="72"/>
      <c r="P17" s="72">
        <f t="shared" si="0"/>
        <v>1232900</v>
      </c>
      <c r="R17" s="43">
        <v>45000</v>
      </c>
      <c r="S17" s="114">
        <f>IFERROR((H17/G17*1000000)/R17,0)</f>
        <v>1.1904761904761907</v>
      </c>
    </row>
    <row r="18" spans="1:19" ht="16.5" customHeight="1">
      <c r="A18" s="128"/>
      <c r="B18" s="129" t="s">
        <v>69</v>
      </c>
      <c r="C18" s="41" cm="1">
        <f t="array" ref="C18">IFERROR(INDEX('출퇴근 및 급여'!$A$2:$BX$41,MATCH(보고서!$C$2,'출퇴근 및 급여'!$A$2:$A$41,0),MATCH(보고서!B18, '출퇴근 및 급여'!$A$2:$BX$2,0)+2),"")</f>
        <v>3.9999999999999991</v>
      </c>
      <c r="D18" s="71">
        <f>IFERROR(HLOOKUP(B18,파트인센!$C$32:$AC$36,3,FALSE),"")</f>
        <v>0.5</v>
      </c>
      <c r="F18" s="129" t="s">
        <v>69</v>
      </c>
      <c r="G18" s="41" cm="1">
        <f t="array" ref="G18">IFERROR(INDEX('출퇴근 및 급여'!$A$2:$BU$41,MATCH("총근무시간",'출퇴근 및 급여'!$A$2:$A$41,0),MATCH(보고서!B18, '출퇴근 및 급여'!$A$2:$BU$2,0)+2),"")</f>
        <v>16.000000000000004</v>
      </c>
      <c r="H18" s="41">
        <f>IFERROR(HLOOKUP(B18,'출퇴근 및 급여'!$J$2:$BU$37,36,FALSE),0)</f>
        <v>2</v>
      </c>
      <c r="J18" s="72" cm="1">
        <f t="array" ref="J18">IFERROR(INDEX('출퇴근 및 급여'!$A$2:$BU$41,MATCH("총 지급액",'출퇴근 및 급여'!$A$2:$A$41,0),MATCH(보고서!F18, '출퇴근 및 급여'!$A$2:$BU$2,0)+3),"")</f>
        <v>792900</v>
      </c>
      <c r="K18" s="72"/>
      <c r="L18" s="72"/>
      <c r="M18" s="72"/>
      <c r="N18" s="72"/>
      <c r="O18" s="72"/>
      <c r="P18" s="72">
        <f t="shared" si="0"/>
        <v>792900</v>
      </c>
      <c r="R18" s="43">
        <v>50000</v>
      </c>
      <c r="S18" s="114">
        <f>IFERROR((H18/G18*1000000)/R18,0)</f>
        <v>2.4999999999999996</v>
      </c>
    </row>
    <row r="19" spans="1:19" ht="16.5" customHeight="1">
      <c r="A19" s="128"/>
      <c r="B19" s="129" t="s">
        <v>70</v>
      </c>
      <c r="C19" s="41" t="str" cm="1">
        <f t="array" ref="C19">IFERROR(INDEX('출퇴근 및 급여'!$A$2:$BX$41,MATCH(보고서!$C$2,'출퇴근 및 급여'!$A$2:$A$41,0),MATCH(보고서!B19, '출퇴근 및 급여'!$A$2:$BX$2,0)+2),"")</f>
        <v>休</v>
      </c>
      <c r="D19" s="71">
        <f>IFERROR(HLOOKUP(B19,파트인센!$C$32:$AC$36,3,FALSE),"")</f>
        <v>0</v>
      </c>
      <c r="F19" s="129" t="s">
        <v>70</v>
      </c>
      <c r="G19" s="41" cm="1">
        <f t="array" ref="G19">IFERROR(INDEX('출퇴근 및 급여'!$A$2:$BU$41,MATCH("총근무시간",'출퇴근 및 급여'!$A$2:$A$41,0),MATCH(보고서!B19, '출퇴근 및 급여'!$A$2:$BU$2,0)+2),"")</f>
        <v>3.5000000000000009</v>
      </c>
      <c r="H19" s="41">
        <f>IFERROR(HLOOKUP(B19,'출퇴근 및 급여'!$J$2:$BU$37,36,FALSE),0)</f>
        <v>0.5</v>
      </c>
      <c r="J19" s="72" cm="1">
        <f t="array" ref="J19">IFERROR(INDEX('출퇴근 및 급여'!$A$2:$BU$41,MATCH("총 지급액",'출퇴근 및 급여'!$A$2:$A$41,0),MATCH(보고서!F19, '출퇴근 및 급여'!$A$2:$BU$2,0)+3),"")</f>
        <v>174000</v>
      </c>
      <c r="K19" s="72"/>
      <c r="L19" s="72"/>
      <c r="M19" s="72"/>
      <c r="N19" s="72"/>
      <c r="O19" s="72"/>
      <c r="P19" s="72">
        <f t="shared" si="0"/>
        <v>174000</v>
      </c>
      <c r="R19" s="43">
        <v>50000</v>
      </c>
      <c r="S19" s="114">
        <f>IFERROR((H19/G19*1000000)/R19,0)</f>
        <v>2.8571428571428563</v>
      </c>
    </row>
    <row r="20" spans="1:19" ht="16.5" customHeight="1">
      <c r="A20" s="128"/>
      <c r="B20" s="129"/>
      <c r="C20" s="41" t="str" cm="1">
        <f t="array" ref="C20">IFERROR(INDEX('출퇴근 및 급여'!$A$2:$BX$41,MATCH(보고서!$C$2,'출퇴근 및 급여'!$A$2:$A$41,0),MATCH(보고서!B20, '출퇴근 및 급여'!$A$2:$BX$2,0)+2),"")</f>
        <v/>
      </c>
      <c r="D20" s="71" t="str">
        <f>IFERROR(HLOOKUP(B20,파트인센!$C$32:$AC$36,3,FALSE),"")</f>
        <v/>
      </c>
      <c r="F20" s="129"/>
      <c r="G20" s="41" t="str" cm="1">
        <f t="array" ref="G20">IFERROR(INDEX('출퇴근 및 급여'!$A$2:$BU$41,MATCH("총근무시간",'출퇴근 및 급여'!$A$2:$A$41,0),MATCH(보고서!B20, '출퇴근 및 급여'!$A$2:$BU$2,0)+2),"")</f>
        <v/>
      </c>
      <c r="H20" s="41"/>
      <c r="J20" s="72" t="str" cm="1">
        <f t="array" ref="J20">IFERROR(INDEX('출퇴근 및 급여'!$A$2:$BU$41,MATCH("총 지급액",'출퇴근 및 급여'!$A$2:$A$41,0),MATCH(보고서!F20, '출퇴근 및 급여'!$A$2:$BU$2,0)+3),"")</f>
        <v/>
      </c>
      <c r="K20" s="72"/>
      <c r="L20" s="72"/>
      <c r="M20" s="72"/>
      <c r="N20" s="72"/>
      <c r="O20" s="72"/>
      <c r="P20" s="72" t="str">
        <f t="shared" si="0"/>
        <v/>
      </c>
      <c r="R20" s="41"/>
      <c r="S20" s="114">
        <f>IFERROR((H20/G20*1000000)/R20,0)</f>
        <v>0</v>
      </c>
    </row>
    <row r="21" spans="1:19" ht="16.5" customHeight="1">
      <c r="A21" s="128"/>
      <c r="B21" s="129"/>
      <c r="C21" s="41" t="str" cm="1">
        <f t="array" ref="C21">IFERROR(INDEX('출퇴근 및 급여'!$A$2:$BX$41,MATCH(보고서!$C$2,'출퇴근 및 급여'!$A$2:$A$41,0),MATCH(보고서!B21, '출퇴근 및 급여'!$A$2:$BX$2,0)+2),"")</f>
        <v/>
      </c>
      <c r="D21" s="71" t="str">
        <f>IFERROR(HLOOKUP(B21,파트인센!$C$32:$AC$36,3,FALSE),"")</f>
        <v/>
      </c>
      <c r="F21" s="129"/>
      <c r="G21" s="41" t="str" cm="1">
        <f t="array" ref="G21">IFERROR(INDEX('출퇴근 및 급여'!$A$2:$BU$41,MATCH("총근무시간",'출퇴근 및 급여'!$A$2:$A$41,0),MATCH(보고서!B21, '출퇴근 및 급여'!$A$2:$BU$2,0)+2),"")</f>
        <v/>
      </c>
      <c r="H21" s="41"/>
      <c r="J21" s="72" t="str" cm="1">
        <f t="array" ref="J21">IFERROR(INDEX('출퇴근 및 급여'!$A$2:$BU$41,MATCH("총 지급액",'출퇴근 및 급여'!$A$2:$A$41,0),MATCH(보고서!F21, '출퇴근 및 급여'!$A$2:$BU$2,0)+3),"")</f>
        <v/>
      </c>
      <c r="K21" s="72"/>
      <c r="L21" s="72"/>
      <c r="M21" s="72"/>
      <c r="N21" s="72"/>
      <c r="O21" s="72"/>
      <c r="P21" s="72" t="str">
        <f t="shared" si="0"/>
        <v/>
      </c>
      <c r="R21" s="41"/>
      <c r="S21" s="114">
        <f>IFERROR((H21/G21*1000000)/R21,0)</f>
        <v>0</v>
      </c>
    </row>
    <row r="22" spans="1:19" ht="16.5" customHeight="1">
      <c r="A22" s="128"/>
      <c r="B22" s="129"/>
      <c r="C22" s="41"/>
      <c r="D22" s="71" t="str">
        <f>IFERROR(HLOOKUP(B22,파트인센!$C$32:$AC$36,3,FALSE),"")</f>
        <v/>
      </c>
      <c r="F22" s="129"/>
      <c r="G22" s="41" t="str" cm="1">
        <f t="array" ref="G22">IFERROR(INDEX('출퇴근 및 급여'!$A$2:$BU$41,MATCH("총근무시간",'출퇴근 및 급여'!$A$2:$A$41,0),MATCH(보고서!B22, '출퇴근 및 급여'!$A$2:$BU$2,0)+2),"")</f>
        <v/>
      </c>
      <c r="H22" s="41"/>
      <c r="J22" s="72" t="str" cm="1">
        <f t="array" ref="J22">IFERROR(INDEX('출퇴근 및 급여'!$A$2:$BU$41,MATCH("총 지급액",'출퇴근 및 급여'!$A$2:$A$41,0),MATCH(보고서!F22, '출퇴근 및 급여'!$A$2:$BU$2,0)+3),"")</f>
        <v/>
      </c>
      <c r="K22" s="72"/>
      <c r="L22" s="72"/>
      <c r="M22" s="72"/>
      <c r="N22" s="72"/>
      <c r="O22" s="72"/>
      <c r="P22" s="72" t="str">
        <f t="shared" si="0"/>
        <v/>
      </c>
      <c r="R22" s="41"/>
      <c r="S22" s="114">
        <f>IFERROR((H22/G22*1000000)/R22,0)</f>
        <v>0</v>
      </c>
    </row>
    <row r="23" spans="1:19" ht="16.5" customHeight="1">
      <c r="A23" s="128"/>
      <c r="B23" s="129"/>
      <c r="C23" s="41"/>
      <c r="D23" s="71"/>
      <c r="F23" s="129"/>
      <c r="G23" s="41" t="str" cm="1">
        <f t="array" ref="G23">IFERROR(INDEX('출퇴근 및 급여'!$A$2:$BU$41,MATCH("총근무시간",'출퇴근 및 급여'!$A$2:$A$41,0),MATCH(보고서!B23, '출퇴근 및 급여'!$A$2:$BU$2,0)+2),"")</f>
        <v/>
      </c>
      <c r="H23" s="41"/>
      <c r="J23" s="72" t="str" cm="1">
        <f t="array" ref="J23">IFERROR(INDEX('출퇴근 및 급여'!$A$2:$BU$41,MATCH("총 지급액",'출퇴근 및 급여'!$A$2:$A$41,0),MATCH(보고서!F23, '출퇴근 및 급여'!$A$2:$BU$2,0)+3),"")</f>
        <v/>
      </c>
      <c r="K23" s="72"/>
      <c r="L23" s="72"/>
      <c r="M23" s="72"/>
      <c r="N23" s="72"/>
      <c r="O23" s="72"/>
      <c r="P23" s="72" t="str">
        <f t="shared" si="0"/>
        <v/>
      </c>
      <c r="R23" s="41"/>
      <c r="S23" s="114">
        <f>IFERROR((H23/G23*1000000)/R23,0)</f>
        <v>0</v>
      </c>
    </row>
    <row r="25" spans="1:19">
      <c r="B25" s="150" t="s">
        <v>32</v>
      </c>
      <c r="C25" s="130" t="s">
        <v>34</v>
      </c>
      <c r="D25" s="46">
        <f>VLOOKUP($C$2,summary!$A$2:$G$33,2,FALSE)</f>
        <v>1220000</v>
      </c>
      <c r="F25" s="151" t="s">
        <v>33</v>
      </c>
      <c r="G25" s="130" t="s">
        <v>34</v>
      </c>
      <c r="H25" s="46">
        <f>summary!B34</f>
        <v>25290000</v>
      </c>
    </row>
    <row r="26" spans="1:19">
      <c r="B26" s="150"/>
      <c r="C26" s="130" t="s">
        <v>35</v>
      </c>
      <c r="D26" s="46">
        <f>VLOOKUP($C$2,summary!$A$2:$G$33,6,FALSE)</f>
        <v>1118862.7554112552</v>
      </c>
      <c r="F26" s="151"/>
      <c r="G26" s="130" t="s">
        <v>35</v>
      </c>
      <c r="H26" s="46">
        <f>summary!F34</f>
        <v>15584502.435064932</v>
      </c>
    </row>
    <row r="27" spans="1:19">
      <c r="B27" s="150"/>
      <c r="C27" s="130" t="s">
        <v>29</v>
      </c>
      <c r="D27" s="49">
        <f>IFERROR(D26/D25,0)</f>
        <v>0.91710061918955343</v>
      </c>
      <c r="F27" s="151"/>
      <c r="G27" s="130" t="s">
        <v>29</v>
      </c>
      <c r="H27" s="49">
        <f>IFERROR(H26/H25,0)</f>
        <v>0.6162318084248688</v>
      </c>
    </row>
    <row r="28" spans="1:19">
      <c r="B28" s="51"/>
      <c r="C28" s="51"/>
      <c r="D28" s="51"/>
    </row>
    <row r="29" spans="1:19">
      <c r="B29" s="153" t="s">
        <v>83</v>
      </c>
      <c r="C29" s="41" t="s">
        <v>75</v>
      </c>
      <c r="D29" s="72">
        <f>VLOOKUP($C$2,주류장부!$A$4:$P$35,9,FALSE)</f>
        <v>1220000</v>
      </c>
    </row>
    <row r="30" spans="1:19">
      <c r="B30" s="150"/>
      <c r="C30" s="41" t="s">
        <v>76</v>
      </c>
      <c r="D30" s="72">
        <f>VLOOKUP($C$2,주류장부!$A$4:$P$35,10,FALSE)</f>
        <v>0</v>
      </c>
    </row>
    <row r="31" spans="1:19">
      <c r="B31" s="150"/>
      <c r="C31" s="41" t="s">
        <v>77</v>
      </c>
      <c r="D31" s="72">
        <f>VLOOKUP($C$2,주류장부!$A$4:$P$35,11,FALSE)</f>
        <v>0</v>
      </c>
    </row>
    <row r="32" spans="1:19">
      <c r="B32" s="150"/>
      <c r="C32" s="41" t="s">
        <v>84</v>
      </c>
      <c r="D32" s="72">
        <f>VLOOKUP($C$2,주류장부!$A$4:$P$35,12,FALSE)</f>
        <v>0</v>
      </c>
    </row>
    <row r="33" spans="2:4">
      <c r="B33" s="150"/>
      <c r="C33" s="72" t="s">
        <v>79</v>
      </c>
      <c r="D33" s="72">
        <f>VLOOKUP($C$2,주류장부!$A$4:$P$35,14,FALSE)</f>
        <v>47600</v>
      </c>
    </row>
    <row r="34" spans="2:4">
      <c r="B34" s="150"/>
      <c r="C34" s="72" t="s">
        <v>85</v>
      </c>
      <c r="D34" s="72">
        <f>VLOOKUP($C$2,주류장부!$A$4:$P$35,16,FALSE)</f>
        <v>415300</v>
      </c>
    </row>
  </sheetData>
  <mergeCells count="4">
    <mergeCell ref="B25:B27"/>
    <mergeCell ref="F25:F27"/>
    <mergeCell ref="K4:O4"/>
    <mergeCell ref="B29:B34"/>
  </mergeCells>
  <phoneticPr fontId="1" type="noConversion"/>
  <conditionalFormatting sqref="C2:C3">
    <cfRule type="expression" dxfId="26" priority="1">
      <formula>WEEKDAY($B2,1)=$D$1</formula>
    </cfRule>
    <cfRule type="expression" dxfId="25" priority="2">
      <formula>WEEKDAY($B2,1)=$C$1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'출퇴근 및 급여'!$A$4:$A$34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opLeftCell="A4" workbookViewId="0">
      <selection activeCell="J13" sqref="J13"/>
    </sheetView>
  </sheetViews>
  <sheetFormatPr defaultRowHeight="16.5"/>
  <cols>
    <col min="1" max="1" width="8.75" bestFit="1" customWidth="1"/>
    <col min="2" max="2" width="11" bestFit="1" customWidth="1"/>
    <col min="3" max="3" width="14.375" bestFit="1" customWidth="1"/>
    <col min="4" max="4" width="10.25" customWidth="1"/>
    <col min="5" max="6" width="14.375" customWidth="1"/>
    <col min="7" max="7" width="9" bestFit="1" customWidth="1"/>
    <col min="8" max="8" width="1.625" customWidth="1"/>
  </cols>
  <sheetData>
    <row r="1" spans="1:11">
      <c r="B1">
        <v>1</v>
      </c>
      <c r="C1">
        <v>7</v>
      </c>
    </row>
    <row r="2" spans="1:11">
      <c r="A2" s="41" t="s">
        <v>37</v>
      </c>
      <c r="B2" s="26" t="s">
        <v>28</v>
      </c>
      <c r="C2" s="27" t="s">
        <v>25</v>
      </c>
      <c r="D2" s="27" t="s">
        <v>44</v>
      </c>
      <c r="E2" s="27" t="s">
        <v>45</v>
      </c>
      <c r="F2" s="27" t="s">
        <v>50</v>
      </c>
      <c r="G2" s="27" t="s">
        <v>29</v>
      </c>
      <c r="I2" s="161" t="s">
        <v>101</v>
      </c>
      <c r="J2" s="161" t="s">
        <v>102</v>
      </c>
      <c r="K2" s="161" t="s">
        <v>103</v>
      </c>
    </row>
    <row r="3" spans="1:11">
      <c r="A3" s="42">
        <f>'출퇴근 및 급여'!A4</f>
        <v>44958</v>
      </c>
      <c r="B3" s="43">
        <f>주류장부!M4</f>
        <v>0</v>
      </c>
      <c r="C3" s="43">
        <f>'출퇴근 및 급여'!BW4</f>
        <v>578169.71861471841</v>
      </c>
      <c r="D3" s="43">
        <f>직원인센!L4</f>
        <v>0</v>
      </c>
      <c r="E3" s="43">
        <f>IFERROR(SUMIF(파트인센!A:A,summary!A3,파트인센!AE:AE)*10000,0)</f>
        <v>0</v>
      </c>
      <c r="F3" s="43">
        <f>C3+D3+E3</f>
        <v>578169.71861471841</v>
      </c>
      <c r="G3" s="44" t="str">
        <f>IFERROR(F3/B3,"")</f>
        <v/>
      </c>
      <c r="I3" s="160">
        <f>VLOOKUP($A3,주류장부!$A$3:$E$34,3,FALSE)</f>
        <v>0</v>
      </c>
      <c r="J3" s="160">
        <f>VLOOKUP($A3,주류장부!$A$3:$E$34,4,FALSE)</f>
        <v>0</v>
      </c>
      <c r="K3" s="160">
        <f>VLOOKUP($A3,주류장부!$A$3:$E$34,5,FALSE)</f>
        <v>0</v>
      </c>
    </row>
    <row r="4" spans="1:11">
      <c r="A4" s="42">
        <f>'출퇴근 및 급여'!A5</f>
        <v>44959</v>
      </c>
      <c r="B4" s="43">
        <f>주류장부!M5</f>
        <v>720000</v>
      </c>
      <c r="C4" s="43">
        <f>'출퇴근 및 급여'!BW5</f>
        <v>975489.50649350637</v>
      </c>
      <c r="D4" s="43">
        <f>직원인센!L5</f>
        <v>0</v>
      </c>
      <c r="E4" s="43">
        <f>IFERROR(SUMIF(파트인센!A:A,summary!A4,파트인센!AE:AE)*10000,0)</f>
        <v>449000</v>
      </c>
      <c r="F4" s="43">
        <f t="shared" ref="F4:F33" si="0">C4+D4+E4</f>
        <v>1424489.5064935065</v>
      </c>
      <c r="G4" s="44">
        <f>IFERROR(F4/B4,"")</f>
        <v>1.9784576479076479</v>
      </c>
      <c r="I4" s="160">
        <f>VLOOKUP($A4,주류장부!$A$3:$E$34,3,FALSE)</f>
        <v>1</v>
      </c>
      <c r="J4" s="160">
        <f>VLOOKUP($A4,주류장부!$A$3:$E$34,4,FALSE)</f>
        <v>1</v>
      </c>
      <c r="K4" s="160">
        <f>VLOOKUP($A4,주류장부!$A$3:$E$34,5,FALSE)</f>
        <v>0</v>
      </c>
    </row>
    <row r="5" spans="1:11">
      <c r="A5" s="42">
        <f>'출퇴근 및 급여'!A6</f>
        <v>44960</v>
      </c>
      <c r="B5" s="43">
        <f>주류장부!M6</f>
        <v>1360000</v>
      </c>
      <c r="C5" s="43">
        <f>'출퇴근 및 급여'!BW6</f>
        <v>1025773.5064935067</v>
      </c>
      <c r="D5" s="43">
        <f>직원인센!L6</f>
        <v>0</v>
      </c>
      <c r="E5" s="43">
        <f>IFERROR(SUMIF(파트인센!A:A,summary!A5,파트인센!AE:AE)*10000,0)</f>
        <v>20000</v>
      </c>
      <c r="F5" s="43">
        <f t="shared" si="0"/>
        <v>1045773.5064935067</v>
      </c>
      <c r="G5" s="44">
        <f t="shared" ref="G5:G33" si="1">IFERROR(F5/B5,"")</f>
        <v>0.76895110771581376</v>
      </c>
      <c r="I5" s="160">
        <f>VLOOKUP($A5,주류장부!$A$3:$E$34,3,FALSE)</f>
        <v>2</v>
      </c>
      <c r="J5" s="160">
        <f>VLOOKUP($A5,주류장부!$A$3:$E$34,4,FALSE)</f>
        <v>0</v>
      </c>
      <c r="K5" s="160">
        <f>VLOOKUP($A5,주류장부!$A$3:$E$34,5,FALSE)</f>
        <v>1</v>
      </c>
    </row>
    <row r="6" spans="1:11">
      <c r="A6" s="42">
        <f>'출퇴근 및 급여'!A7</f>
        <v>44961</v>
      </c>
      <c r="B6" s="43" t="str">
        <f>주류장부!M7</f>
        <v/>
      </c>
      <c r="C6" s="43">
        <f>'출퇴근 및 급여'!BW7</f>
        <v>103607.14285714286</v>
      </c>
      <c r="D6" s="43">
        <f>직원인센!L7</f>
        <v>0</v>
      </c>
      <c r="E6" s="43">
        <f>IFERROR(SUMIF(파트인센!A:A,summary!A6,파트인센!AE:AE)*10000,0)</f>
        <v>0</v>
      </c>
      <c r="F6" s="43">
        <f t="shared" si="0"/>
        <v>103607.14285714286</v>
      </c>
      <c r="G6" s="44" t="str">
        <f t="shared" si="1"/>
        <v/>
      </c>
      <c r="I6" s="160">
        <f>VLOOKUP($A6,주류장부!$A$3:$E$34,3,FALSE)</f>
        <v>0</v>
      </c>
      <c r="J6" s="160">
        <f>VLOOKUP($A6,주류장부!$A$3:$E$34,4,FALSE)</f>
        <v>0</v>
      </c>
      <c r="K6" s="160">
        <f>VLOOKUP($A6,주류장부!$A$3:$E$34,5,FALSE)</f>
        <v>0</v>
      </c>
    </row>
    <row r="7" spans="1:11">
      <c r="A7" s="42">
        <f>'출퇴근 및 급여'!A8</f>
        <v>44962</v>
      </c>
      <c r="B7" s="43" t="str">
        <f>주류장부!M8</f>
        <v/>
      </c>
      <c r="C7" s="43">
        <f>'출퇴근 및 급여'!BW8</f>
        <v>103607.14285714286</v>
      </c>
      <c r="D7" s="43">
        <f>직원인센!L8</f>
        <v>0</v>
      </c>
      <c r="E7" s="43">
        <f>IFERROR(SUMIF(파트인센!A:A,summary!A7,파트인센!AE:AE)*10000,0)</f>
        <v>0</v>
      </c>
      <c r="F7" s="43">
        <f t="shared" si="0"/>
        <v>103607.14285714286</v>
      </c>
      <c r="G7" s="44" t="str">
        <f t="shared" si="1"/>
        <v/>
      </c>
      <c r="I7" s="160">
        <f>VLOOKUP($A7,주류장부!$A$3:$E$34,3,FALSE)</f>
        <v>0</v>
      </c>
      <c r="J7" s="160">
        <f>VLOOKUP($A7,주류장부!$A$3:$E$34,4,FALSE)</f>
        <v>0</v>
      </c>
      <c r="K7" s="160">
        <f>VLOOKUP($A7,주류장부!$A$3:$E$34,5,FALSE)</f>
        <v>0</v>
      </c>
    </row>
    <row r="8" spans="1:11">
      <c r="A8" s="42">
        <f>'출퇴근 및 급여'!A9</f>
        <v>44963</v>
      </c>
      <c r="B8" s="43">
        <f>주류장부!M9</f>
        <v>550000</v>
      </c>
      <c r="C8" s="43">
        <f>'출퇴근 및 급여'!BW9</f>
        <v>857574.11255411245</v>
      </c>
      <c r="D8" s="43">
        <f>직원인센!L9</f>
        <v>0</v>
      </c>
      <c r="E8" s="43">
        <f>IFERROR(SUMIF(파트인센!A:A,summary!A8,파트인센!AE:AE)*10000,0)</f>
        <v>55000</v>
      </c>
      <c r="F8" s="43">
        <f t="shared" si="0"/>
        <v>912574.11255411245</v>
      </c>
      <c r="G8" s="44">
        <f t="shared" si="1"/>
        <v>1.6592256591892953</v>
      </c>
      <c r="I8" s="160">
        <f>VLOOKUP($A8,주류장부!$A$3:$E$34,3,FALSE)</f>
        <v>0</v>
      </c>
      <c r="J8" s="160">
        <f>VLOOKUP($A8,주류장부!$A$3:$E$34,4,FALSE)</f>
        <v>1</v>
      </c>
      <c r="K8" s="160">
        <f>VLOOKUP($A8,주류장부!$A$3:$E$34,5,FALSE)</f>
        <v>0</v>
      </c>
    </row>
    <row r="9" spans="1:11">
      <c r="A9" s="42">
        <f>'출퇴근 및 급여'!A10</f>
        <v>44964</v>
      </c>
      <c r="B9" s="43" t="str">
        <f>주류장부!M10</f>
        <v/>
      </c>
      <c r="C9" s="43">
        <f>'출퇴근 및 급여'!BW10</f>
        <v>901227.25541125529</v>
      </c>
      <c r="D9" s="43">
        <f>직원인센!L10</f>
        <v>0</v>
      </c>
      <c r="E9" s="43">
        <f>IFERROR(SUMIF(파트인센!A:A,summary!A9,파트인센!AE:AE)*10000,0)</f>
        <v>0</v>
      </c>
      <c r="F9" s="43">
        <f t="shared" si="0"/>
        <v>901227.25541125529</v>
      </c>
      <c r="G9" s="44" t="str">
        <f t="shared" si="1"/>
        <v/>
      </c>
      <c r="I9" s="160">
        <f>VLOOKUP($A9,주류장부!$A$3:$E$34,3,FALSE)</f>
        <v>0</v>
      </c>
      <c r="J9" s="160">
        <f>VLOOKUP($A9,주류장부!$A$3:$E$34,4,FALSE)</f>
        <v>0</v>
      </c>
      <c r="K9" s="160">
        <f>VLOOKUP($A9,주류장부!$A$3:$E$34,5,FALSE)</f>
        <v>0</v>
      </c>
    </row>
    <row r="10" spans="1:11">
      <c r="A10" s="42">
        <f>'출퇴근 및 급여'!A11</f>
        <v>44965</v>
      </c>
      <c r="B10" s="43">
        <f>주류장부!M11</f>
        <v>3680000</v>
      </c>
      <c r="C10" s="43">
        <f>'출퇴근 및 급여'!BW11</f>
        <v>1307191.4372294368</v>
      </c>
      <c r="D10" s="43">
        <f>직원인센!L11</f>
        <v>0</v>
      </c>
      <c r="E10" s="43">
        <f>IFERROR(SUMIF(파트인센!A:A,summary!A10,파트인센!AE:AE)*10000,0)</f>
        <v>370000</v>
      </c>
      <c r="F10" s="43">
        <f t="shared" si="0"/>
        <v>1677191.4372294368</v>
      </c>
      <c r="G10" s="44">
        <f t="shared" si="1"/>
        <v>0.45575854272539046</v>
      </c>
      <c r="I10" s="160">
        <f>VLOOKUP($A10,주류장부!$A$3:$E$34,3,FALSE)</f>
        <v>1</v>
      </c>
      <c r="J10" s="160">
        <f>VLOOKUP($A10,주류장부!$A$3:$E$34,4,FALSE)</f>
        <v>5</v>
      </c>
      <c r="K10" s="160">
        <f>VLOOKUP($A10,주류장부!$A$3:$E$34,5,FALSE)</f>
        <v>2</v>
      </c>
    </row>
    <row r="11" spans="1:11">
      <c r="A11" s="42">
        <f>'출퇴근 및 급여'!A12</f>
        <v>44966</v>
      </c>
      <c r="B11" s="43">
        <f>주류장부!M12</f>
        <v>6610000</v>
      </c>
      <c r="C11" s="43">
        <f>'출퇴근 및 급여'!BW12</f>
        <v>1318912.6493506492</v>
      </c>
      <c r="D11" s="43">
        <f>직원인센!L12</f>
        <v>0</v>
      </c>
      <c r="E11" s="43">
        <f>IFERROR(SUMIF(파트인센!A:A,summary!A11,파트인센!AE:AE)*10000,0)</f>
        <v>367000</v>
      </c>
      <c r="F11" s="43">
        <f t="shared" si="0"/>
        <v>1685912.6493506492</v>
      </c>
      <c r="G11" s="44">
        <f t="shared" si="1"/>
        <v>0.25505486374442499</v>
      </c>
      <c r="I11" s="160">
        <f>VLOOKUP($A11,주류장부!$A$3:$E$34,3,FALSE)</f>
        <v>1</v>
      </c>
      <c r="J11" s="160">
        <f>VLOOKUP($A11,주류장부!$A$3:$E$34,4,FALSE)</f>
        <v>3</v>
      </c>
      <c r="K11" s="160">
        <f>VLOOKUP($A11,주류장부!$A$3:$E$34,5,FALSE)</f>
        <v>2</v>
      </c>
    </row>
    <row r="12" spans="1:11">
      <c r="A12" s="42">
        <f>'출퇴근 및 급여'!A13</f>
        <v>44967</v>
      </c>
      <c r="B12" s="43">
        <f>주류장부!M13</f>
        <v>1480000</v>
      </c>
      <c r="C12" s="43">
        <f>'출퇴근 및 급여'!BW13</f>
        <v>1002308.0584415583</v>
      </c>
      <c r="D12" s="43">
        <f>직원인센!L13</f>
        <v>0</v>
      </c>
      <c r="E12" s="43">
        <f>IFERROR(SUMIF(파트인센!A:A,summary!A12,파트인센!AE:AE)*10000,0)</f>
        <v>26500</v>
      </c>
      <c r="F12" s="43">
        <f t="shared" si="0"/>
        <v>1028808.0584415583</v>
      </c>
      <c r="G12" s="44">
        <f t="shared" si="1"/>
        <v>0.69514058002807988</v>
      </c>
      <c r="I12" s="160">
        <f>VLOOKUP($A12,주류장부!$A$3:$E$34,3,FALSE)</f>
        <v>1</v>
      </c>
      <c r="J12" s="160">
        <f>VLOOKUP($A12,주류장부!$A$3:$E$34,4,FALSE)</f>
        <v>2</v>
      </c>
      <c r="K12" s="160">
        <f>VLOOKUP($A12,주류장부!$A$3:$E$34,5,FALSE)</f>
        <v>0</v>
      </c>
    </row>
    <row r="13" spans="1:11">
      <c r="A13" s="42">
        <f>'출퇴근 및 급여'!A14</f>
        <v>44968</v>
      </c>
      <c r="B13" s="43" t="str">
        <f>주류장부!M14</f>
        <v/>
      </c>
      <c r="C13" s="43">
        <f>'출퇴근 및 급여'!BW14</f>
        <v>183039.28571428571</v>
      </c>
      <c r="D13" s="43">
        <f>직원인센!L14</f>
        <v>0</v>
      </c>
      <c r="E13" s="43">
        <f>IFERROR(SUMIF(파트인센!A:A,summary!A13,파트인센!AE:AE)*10000,0)</f>
        <v>0</v>
      </c>
      <c r="F13" s="43">
        <f t="shared" si="0"/>
        <v>183039.28571428571</v>
      </c>
      <c r="G13" s="44" t="str">
        <f t="shared" si="1"/>
        <v/>
      </c>
      <c r="I13" s="160">
        <f>VLOOKUP($A13,주류장부!$A$3:$E$34,3,FALSE)</f>
        <v>0</v>
      </c>
      <c r="J13" s="160">
        <f>VLOOKUP($A13,주류장부!$A$3:$E$34,4,FALSE)</f>
        <v>0</v>
      </c>
      <c r="K13" s="160">
        <f>VLOOKUP($A13,주류장부!$A$3:$E$34,5,FALSE)</f>
        <v>0</v>
      </c>
    </row>
    <row r="14" spans="1:11">
      <c r="A14" s="42">
        <f>'출퇴근 및 급여'!A15</f>
        <v>44969</v>
      </c>
      <c r="B14" s="43" t="str">
        <f>주류장부!M15</f>
        <v/>
      </c>
      <c r="C14" s="43">
        <f>'출퇴근 및 급여'!BW15</f>
        <v>183039.28571428571</v>
      </c>
      <c r="D14" s="43">
        <f>직원인센!L15</f>
        <v>0</v>
      </c>
      <c r="E14" s="43">
        <f>IFERROR(SUMIF(파트인센!A:A,summary!A14,파트인센!AE:AE)*10000,0)</f>
        <v>0</v>
      </c>
      <c r="F14" s="43">
        <f t="shared" si="0"/>
        <v>183039.28571428571</v>
      </c>
      <c r="G14" s="44" t="str">
        <f t="shared" si="1"/>
        <v/>
      </c>
      <c r="I14" s="160">
        <f>VLOOKUP($A14,주류장부!$A$3:$E$34,3,FALSE)</f>
        <v>0</v>
      </c>
      <c r="J14" s="160">
        <f>VLOOKUP($A14,주류장부!$A$3:$E$34,4,FALSE)</f>
        <v>0</v>
      </c>
      <c r="K14" s="160">
        <f>VLOOKUP($A14,주류장부!$A$3:$E$34,5,FALSE)</f>
        <v>0</v>
      </c>
    </row>
    <row r="15" spans="1:11">
      <c r="A15" s="42">
        <f>'출퇴근 및 급여'!A16</f>
        <v>44970</v>
      </c>
      <c r="B15" s="43">
        <f>주류장부!M16</f>
        <v>3750000</v>
      </c>
      <c r="C15" s="43">
        <f>'출퇴근 및 급여'!BW16</f>
        <v>1021047.346320346</v>
      </c>
      <c r="D15" s="43">
        <f>직원인센!L16</f>
        <v>0</v>
      </c>
      <c r="E15" s="43">
        <f>IFERROR(SUMIF(파트인센!A:A,summary!A15,파트인센!AE:AE)*10000,0)</f>
        <v>173000</v>
      </c>
      <c r="F15" s="43">
        <f t="shared" si="0"/>
        <v>1194047.346320346</v>
      </c>
      <c r="G15" s="44">
        <f t="shared" si="1"/>
        <v>0.31841262568542561</v>
      </c>
      <c r="I15" s="160">
        <f>VLOOKUP($A15,주류장부!$A$3:$E$34,3,FALSE)</f>
        <v>2</v>
      </c>
      <c r="J15" s="160">
        <f>VLOOKUP($A15,주류장부!$A$3:$E$34,4,FALSE)</f>
        <v>2</v>
      </c>
      <c r="K15" s="160">
        <f>VLOOKUP($A15,주류장부!$A$3:$E$34,5,FALSE)</f>
        <v>2</v>
      </c>
    </row>
    <row r="16" spans="1:11">
      <c r="A16" s="42">
        <f>'출퇴근 및 급여'!A17</f>
        <v>44971</v>
      </c>
      <c r="B16" s="43">
        <f>주류장부!M17</f>
        <v>1180000</v>
      </c>
      <c r="C16" s="43">
        <f>'출퇴근 및 급여'!BW17</f>
        <v>1036607.2554112552</v>
      </c>
      <c r="D16" s="43">
        <f>직원인센!L17</f>
        <v>0</v>
      </c>
      <c r="E16" s="43">
        <f>IFERROR(SUMIF(파트인센!A:A,summary!A16,파트인센!AE:AE)*10000,0)</f>
        <v>30000</v>
      </c>
      <c r="F16" s="43">
        <f t="shared" si="0"/>
        <v>1066607.2554112552</v>
      </c>
      <c r="G16" s="44">
        <f t="shared" si="1"/>
        <v>0.90390445373835182</v>
      </c>
      <c r="I16" s="160">
        <f>VLOOKUP($A16,주류장부!$A$3:$E$34,3,FALSE)</f>
        <v>2</v>
      </c>
      <c r="J16" s="160">
        <f>VLOOKUP($A16,주류장부!$A$3:$E$34,4,FALSE)</f>
        <v>1</v>
      </c>
      <c r="K16" s="160">
        <f>VLOOKUP($A16,주류장부!$A$3:$E$34,5,FALSE)</f>
        <v>0</v>
      </c>
    </row>
    <row r="17" spans="1:11">
      <c r="A17" s="42">
        <f>'출퇴근 및 급여'!A18</f>
        <v>44972</v>
      </c>
      <c r="B17" s="43">
        <f>주류장부!M18</f>
        <v>2300000</v>
      </c>
      <c r="C17" s="43">
        <f>'출퇴근 및 급여'!BW18</f>
        <v>909446.75541125529</v>
      </c>
      <c r="D17" s="43">
        <f>직원인센!L18</f>
        <v>0</v>
      </c>
      <c r="E17" s="43">
        <f>IFERROR(SUMIF(파트인센!A:A,summary!A17,파트인센!AE:AE)*10000,0)</f>
        <v>40000</v>
      </c>
      <c r="F17" s="43">
        <f t="shared" si="0"/>
        <v>949446.75541125529</v>
      </c>
      <c r="G17" s="44">
        <f t="shared" si="1"/>
        <v>0.4128029371353284</v>
      </c>
      <c r="I17" s="160">
        <f>VLOOKUP($A17,주류장부!$A$3:$E$34,3,FALSE)</f>
        <v>2</v>
      </c>
      <c r="J17" s="160">
        <f>VLOOKUP($A17,주류장부!$A$3:$E$34,4,FALSE)</f>
        <v>0</v>
      </c>
      <c r="K17" s="160">
        <f>VLOOKUP($A17,주류장부!$A$3:$E$34,5,FALSE)</f>
        <v>0</v>
      </c>
    </row>
    <row r="18" spans="1:11">
      <c r="A18" s="42">
        <f>'출퇴근 및 급여'!A19</f>
        <v>44973</v>
      </c>
      <c r="B18" s="43">
        <f>주류장부!M19</f>
        <v>1220000</v>
      </c>
      <c r="C18" s="43">
        <f>'출퇴근 및 급여'!BW19</f>
        <v>955862.75541125517</v>
      </c>
      <c r="D18" s="43">
        <f>직원인센!L19</f>
        <v>0</v>
      </c>
      <c r="E18" s="43">
        <f>IFERROR(SUMIF(파트인센!A:A,summary!A18,파트인센!AE:AE)*10000,0)</f>
        <v>163000</v>
      </c>
      <c r="F18" s="43">
        <f t="shared" si="0"/>
        <v>1118862.7554112552</v>
      </c>
      <c r="G18" s="44">
        <f t="shared" si="1"/>
        <v>0.91710061918955343</v>
      </c>
      <c r="I18" s="160">
        <f>VLOOKUP($A18,주류장부!$A$3:$E$34,3,FALSE)</f>
        <v>2</v>
      </c>
      <c r="J18" s="160">
        <f>VLOOKUP($A18,주류장부!$A$3:$E$34,4,FALSE)</f>
        <v>0</v>
      </c>
      <c r="K18" s="160">
        <f>VLOOKUP($A18,주류장부!$A$3:$E$34,5,FALSE)</f>
        <v>1</v>
      </c>
    </row>
    <row r="19" spans="1:11">
      <c r="A19" s="42">
        <f>'출퇴근 및 급여'!A20</f>
        <v>44974</v>
      </c>
      <c r="B19" s="43">
        <f>주류장부!M20</f>
        <v>2440000</v>
      </c>
      <c r="C19" s="43">
        <f>'출퇴근 및 급여'!BW20</f>
        <v>1052020.6493506492</v>
      </c>
      <c r="D19" s="43">
        <f>직원인센!L20</f>
        <v>0</v>
      </c>
      <c r="E19" s="43">
        <f>IFERROR(SUMIF(파트인센!A:A,summary!A19,파트인센!AE:AE)*10000,0)</f>
        <v>10000</v>
      </c>
      <c r="F19" s="43">
        <f t="shared" si="0"/>
        <v>1062020.6493506492</v>
      </c>
      <c r="G19" s="44">
        <f t="shared" si="1"/>
        <v>0.435254364487971</v>
      </c>
      <c r="I19" s="160">
        <f>VLOOKUP($A19,주류장부!$A$3:$E$34,3,FALSE)</f>
        <v>2</v>
      </c>
      <c r="J19" s="160">
        <f>VLOOKUP($A19,주류장부!$A$3:$E$34,4,FALSE)</f>
        <v>1</v>
      </c>
      <c r="K19" s="160">
        <f>VLOOKUP($A19,주류장부!$A$3:$E$34,5,FALSE)</f>
        <v>2</v>
      </c>
    </row>
    <row r="20" spans="1:11">
      <c r="A20" s="42">
        <f>'출퇴근 및 급여'!A21</f>
        <v>44975</v>
      </c>
      <c r="B20" s="43" t="str">
        <f>주류장부!M21</f>
        <v/>
      </c>
      <c r="C20" s="43">
        <f>'출퇴근 및 급여'!BW21</f>
        <v>183039.28571428571</v>
      </c>
      <c r="D20" s="43">
        <f>직원인센!L21</f>
        <v>0</v>
      </c>
      <c r="E20" s="43">
        <f>IFERROR(SUMIF(파트인센!A:A,summary!A20,파트인센!AE:AE)*10000,0)</f>
        <v>0</v>
      </c>
      <c r="F20" s="43">
        <f t="shared" si="0"/>
        <v>183039.28571428571</v>
      </c>
      <c r="G20" s="44" t="str">
        <f t="shared" si="1"/>
        <v/>
      </c>
      <c r="I20" s="160">
        <f>VLOOKUP($A20,주류장부!$A$3:$E$34,3,FALSE)</f>
        <v>0</v>
      </c>
      <c r="J20" s="160">
        <f>VLOOKUP($A20,주류장부!$A$3:$E$34,4,FALSE)</f>
        <v>0</v>
      </c>
      <c r="K20" s="160">
        <f>VLOOKUP($A20,주류장부!$A$3:$E$34,5,FALSE)</f>
        <v>0</v>
      </c>
    </row>
    <row r="21" spans="1:11">
      <c r="A21" s="42">
        <f>'출퇴근 및 급여'!A22</f>
        <v>44976</v>
      </c>
      <c r="B21" s="43" t="str">
        <f>주류장부!M22</f>
        <v/>
      </c>
      <c r="C21" s="43">
        <f>'출퇴근 및 급여'!BW22</f>
        <v>183039.28571428571</v>
      </c>
      <c r="D21" s="43">
        <f>직원인센!L22</f>
        <v>0</v>
      </c>
      <c r="E21" s="43">
        <f>IFERROR(SUMIF(파트인센!A:A,summary!A21,파트인센!AE:AE)*10000,0)</f>
        <v>0</v>
      </c>
      <c r="F21" s="43">
        <f t="shared" si="0"/>
        <v>183039.28571428571</v>
      </c>
      <c r="G21" s="44" t="str">
        <f t="shared" si="1"/>
        <v/>
      </c>
      <c r="I21" s="160">
        <f>VLOOKUP($A21,주류장부!$A$3:$E$34,3,FALSE)</f>
        <v>0</v>
      </c>
      <c r="J21" s="160">
        <f>VLOOKUP($A21,주류장부!$A$3:$E$34,4,FALSE)</f>
        <v>0</v>
      </c>
      <c r="K21" s="160">
        <f>VLOOKUP($A21,주류장부!$A$3:$E$34,5,FALSE)</f>
        <v>0</v>
      </c>
    </row>
    <row r="22" spans="1:11">
      <c r="A22" s="42">
        <f>'출퇴근 및 급여'!A23</f>
        <v>44977</v>
      </c>
      <c r="B22" s="43" t="str">
        <f>주류장부!M23</f>
        <v/>
      </c>
      <c r="C22" s="43">
        <f>'출퇴근 및 급여'!BW23</f>
        <v>0</v>
      </c>
      <c r="D22" s="43">
        <f>직원인센!L23</f>
        <v>0</v>
      </c>
      <c r="E22" s="43">
        <f>IFERROR(SUMIF(파트인센!A:A,summary!A22,파트인센!AE:AE)*10000,0)</f>
        <v>0</v>
      </c>
      <c r="F22" s="43">
        <f t="shared" si="0"/>
        <v>0</v>
      </c>
      <c r="G22" s="44" t="str">
        <f t="shared" si="1"/>
        <v/>
      </c>
      <c r="I22" s="160">
        <f>VLOOKUP($A22,주류장부!$A$3:$E$34,3,FALSE)</f>
        <v>0</v>
      </c>
      <c r="J22" s="160">
        <f>VLOOKUP($A22,주류장부!$A$3:$E$34,4,FALSE)</f>
        <v>0</v>
      </c>
      <c r="K22" s="160">
        <f>VLOOKUP($A22,주류장부!$A$3:$E$34,5,FALSE)</f>
        <v>0</v>
      </c>
    </row>
    <row r="23" spans="1:11">
      <c r="A23" s="42">
        <f>'출퇴근 및 급여'!A24</f>
        <v>44978</v>
      </c>
      <c r="B23" s="43" t="str">
        <f>주류장부!M24</f>
        <v/>
      </c>
      <c r="C23" s="43">
        <f>'출퇴근 및 급여'!BW24</f>
        <v>0</v>
      </c>
      <c r="D23" s="43">
        <f>직원인센!L24</f>
        <v>0</v>
      </c>
      <c r="E23" s="43">
        <f>IFERROR(SUMIF(파트인센!A:A,summary!A23,파트인센!AE:AE)*10000,0)</f>
        <v>0</v>
      </c>
      <c r="F23" s="43">
        <f t="shared" si="0"/>
        <v>0</v>
      </c>
      <c r="G23" s="44" t="str">
        <f t="shared" si="1"/>
        <v/>
      </c>
      <c r="I23" s="160">
        <f>VLOOKUP($A23,주류장부!$A$3:$E$34,3,FALSE)</f>
        <v>0</v>
      </c>
      <c r="J23" s="160">
        <f>VLOOKUP($A23,주류장부!$A$3:$E$34,4,FALSE)</f>
        <v>0</v>
      </c>
      <c r="K23" s="160">
        <f>VLOOKUP($A23,주류장부!$A$3:$E$34,5,FALSE)</f>
        <v>0</v>
      </c>
    </row>
    <row r="24" spans="1:11">
      <c r="A24" s="42">
        <f>'출퇴근 및 급여'!A25</f>
        <v>44979</v>
      </c>
      <c r="B24" s="43" t="str">
        <f>주류장부!M25</f>
        <v/>
      </c>
      <c r="C24" s="43">
        <f>'출퇴근 및 급여'!BW25</f>
        <v>0</v>
      </c>
      <c r="D24" s="43">
        <f>직원인센!L25</f>
        <v>0</v>
      </c>
      <c r="E24" s="43">
        <f>IFERROR(SUMIF(파트인센!A:A,summary!A24,파트인센!AE:AE)*10000,0)</f>
        <v>0</v>
      </c>
      <c r="F24" s="43">
        <f t="shared" si="0"/>
        <v>0</v>
      </c>
      <c r="G24" s="44" t="str">
        <f t="shared" si="1"/>
        <v/>
      </c>
      <c r="I24" s="160">
        <f>VLOOKUP($A24,주류장부!$A$3:$E$34,3,FALSE)</f>
        <v>0</v>
      </c>
      <c r="J24" s="160">
        <f>VLOOKUP($A24,주류장부!$A$3:$E$34,4,FALSE)</f>
        <v>0</v>
      </c>
      <c r="K24" s="160">
        <f>VLOOKUP($A24,주류장부!$A$3:$E$34,5,FALSE)</f>
        <v>0</v>
      </c>
    </row>
    <row r="25" spans="1:11">
      <c r="A25" s="42">
        <f>'출퇴근 및 급여'!A26</f>
        <v>44980</v>
      </c>
      <c r="B25" s="43" t="str">
        <f>주류장부!M26</f>
        <v/>
      </c>
      <c r="C25" s="43">
        <f>'출퇴근 및 급여'!BW26</f>
        <v>0</v>
      </c>
      <c r="D25" s="43">
        <f>직원인센!L26</f>
        <v>0</v>
      </c>
      <c r="E25" s="43">
        <f>IFERROR(SUMIF(파트인센!A:A,summary!A25,파트인센!AE:AE)*10000,0)</f>
        <v>0</v>
      </c>
      <c r="F25" s="43">
        <f t="shared" si="0"/>
        <v>0</v>
      </c>
      <c r="G25" s="44" t="str">
        <f t="shared" si="1"/>
        <v/>
      </c>
      <c r="I25" s="160">
        <f>VLOOKUP($A25,주류장부!$A$3:$E$34,3,FALSE)</f>
        <v>0</v>
      </c>
      <c r="J25" s="160">
        <f>VLOOKUP($A25,주류장부!$A$3:$E$34,4,FALSE)</f>
        <v>0</v>
      </c>
      <c r="K25" s="160">
        <f>VLOOKUP($A25,주류장부!$A$3:$E$34,5,FALSE)</f>
        <v>0</v>
      </c>
    </row>
    <row r="26" spans="1:11">
      <c r="A26" s="42">
        <f>'출퇴근 및 급여'!A27</f>
        <v>44981</v>
      </c>
      <c r="B26" s="43" t="str">
        <f>주류장부!M27</f>
        <v/>
      </c>
      <c r="C26" s="43">
        <f>'출퇴근 및 급여'!BW27</f>
        <v>0</v>
      </c>
      <c r="D26" s="43">
        <f>직원인센!L27</f>
        <v>0</v>
      </c>
      <c r="E26" s="43">
        <f>IFERROR(SUMIF(파트인센!A:A,summary!A26,파트인센!AE:AE)*10000,0)</f>
        <v>0</v>
      </c>
      <c r="F26" s="43">
        <f t="shared" si="0"/>
        <v>0</v>
      </c>
      <c r="G26" s="44" t="str">
        <f t="shared" si="1"/>
        <v/>
      </c>
      <c r="I26" s="160">
        <f>VLOOKUP($A26,주류장부!$A$3:$E$34,3,FALSE)</f>
        <v>0</v>
      </c>
      <c r="J26" s="160">
        <f>VLOOKUP($A26,주류장부!$A$3:$E$34,4,FALSE)</f>
        <v>0</v>
      </c>
      <c r="K26" s="160">
        <f>VLOOKUP($A26,주류장부!$A$3:$E$34,5,FALSE)</f>
        <v>0</v>
      </c>
    </row>
    <row r="27" spans="1:11">
      <c r="A27" s="42">
        <f>'출퇴근 및 급여'!A28</f>
        <v>44982</v>
      </c>
      <c r="B27" s="43" t="str">
        <f>주류장부!M28</f>
        <v/>
      </c>
      <c r="C27" s="43">
        <f>'출퇴근 및 급여'!BW28</f>
        <v>0</v>
      </c>
      <c r="D27" s="43">
        <f>직원인센!L28</f>
        <v>0</v>
      </c>
      <c r="E27" s="43">
        <f>IFERROR(SUMIF(파트인센!A:A,summary!A27,파트인센!AE:AE)*10000,0)</f>
        <v>0</v>
      </c>
      <c r="F27" s="43">
        <f t="shared" si="0"/>
        <v>0</v>
      </c>
      <c r="G27" s="44" t="str">
        <f t="shared" si="1"/>
        <v/>
      </c>
      <c r="I27" s="160">
        <f>VLOOKUP($A27,주류장부!$A$3:$E$34,3,FALSE)</f>
        <v>0</v>
      </c>
      <c r="J27" s="160">
        <f>VLOOKUP($A27,주류장부!$A$3:$E$34,4,FALSE)</f>
        <v>0</v>
      </c>
      <c r="K27" s="160">
        <f>VLOOKUP($A27,주류장부!$A$3:$E$34,5,FALSE)</f>
        <v>0</v>
      </c>
    </row>
    <row r="28" spans="1:11">
      <c r="A28" s="42">
        <f>'출퇴근 및 급여'!A29</f>
        <v>44983</v>
      </c>
      <c r="B28" s="43" t="str">
        <f>주류장부!M29</f>
        <v/>
      </c>
      <c r="C28" s="43">
        <f>'출퇴근 및 급여'!BW29</f>
        <v>0</v>
      </c>
      <c r="D28" s="43">
        <f>직원인센!L29</f>
        <v>0</v>
      </c>
      <c r="E28" s="43">
        <f>IFERROR(SUMIF(파트인센!A:A,summary!A28,파트인센!AE:AE)*10000,0)</f>
        <v>0</v>
      </c>
      <c r="F28" s="43">
        <f t="shared" si="0"/>
        <v>0</v>
      </c>
      <c r="G28" s="44" t="str">
        <f t="shared" si="1"/>
        <v/>
      </c>
      <c r="I28" s="160">
        <f>VLOOKUP($A28,주류장부!$A$3:$E$34,3,FALSE)</f>
        <v>0</v>
      </c>
      <c r="J28" s="160">
        <f>VLOOKUP($A28,주류장부!$A$3:$E$34,4,FALSE)</f>
        <v>0</v>
      </c>
      <c r="K28" s="160">
        <f>VLOOKUP($A28,주류장부!$A$3:$E$34,5,FALSE)</f>
        <v>0</v>
      </c>
    </row>
    <row r="29" spans="1:11">
      <c r="A29" s="42">
        <f>'출퇴근 및 급여'!A30</f>
        <v>44984</v>
      </c>
      <c r="B29" s="43" t="str">
        <f>주류장부!M30</f>
        <v/>
      </c>
      <c r="C29" s="43">
        <f>'출퇴근 및 급여'!BW30</f>
        <v>0</v>
      </c>
      <c r="D29" s="43">
        <f>직원인센!L30</f>
        <v>0</v>
      </c>
      <c r="E29" s="43">
        <f>IFERROR(SUMIF(파트인센!A:A,summary!A29,파트인센!AE:AE)*10000,0)</f>
        <v>0</v>
      </c>
      <c r="F29" s="43">
        <f t="shared" si="0"/>
        <v>0</v>
      </c>
      <c r="G29" s="44" t="str">
        <f t="shared" si="1"/>
        <v/>
      </c>
      <c r="I29" s="160">
        <f>VLOOKUP($A29,주류장부!$A$3:$E$34,3,FALSE)</f>
        <v>0</v>
      </c>
      <c r="J29" s="160">
        <f>VLOOKUP($A29,주류장부!$A$3:$E$34,4,FALSE)</f>
        <v>0</v>
      </c>
      <c r="K29" s="160">
        <f>VLOOKUP($A29,주류장부!$A$3:$E$34,5,FALSE)</f>
        <v>0</v>
      </c>
    </row>
    <row r="30" spans="1:11">
      <c r="A30" s="42">
        <f>'출퇴근 및 급여'!A31</f>
        <v>44985</v>
      </c>
      <c r="B30" s="43" t="str">
        <f>주류장부!M31</f>
        <v/>
      </c>
      <c r="C30" s="43">
        <f>'출퇴근 및 급여'!BW31</f>
        <v>0</v>
      </c>
      <c r="D30" s="43">
        <f>직원인센!L31</f>
        <v>0</v>
      </c>
      <c r="E30" s="43">
        <f>IFERROR(SUMIF(파트인센!A:A,summary!A30,파트인센!AE:AE)*10000,0)</f>
        <v>0</v>
      </c>
      <c r="F30" s="43">
        <f t="shared" si="0"/>
        <v>0</v>
      </c>
      <c r="G30" s="44" t="str">
        <f t="shared" si="1"/>
        <v/>
      </c>
      <c r="I30" s="160">
        <f>VLOOKUP($A30,주류장부!$A$3:$E$34,3,FALSE)</f>
        <v>0</v>
      </c>
      <c r="J30" s="160">
        <f>VLOOKUP($A30,주류장부!$A$3:$E$34,4,FALSE)</f>
        <v>0</v>
      </c>
      <c r="K30" s="160">
        <f>VLOOKUP($A30,주류장부!$A$3:$E$34,5,FALSE)</f>
        <v>0</v>
      </c>
    </row>
    <row r="31" spans="1:11">
      <c r="A31" s="42" t="str">
        <f>'출퇴근 및 급여'!A32</f>
        <v/>
      </c>
      <c r="B31" s="43" t="str">
        <f>주류장부!M32</f>
        <v/>
      </c>
      <c r="C31" s="43">
        <f>'출퇴근 및 급여'!BW32</f>
        <v>0</v>
      </c>
      <c r="D31" s="43">
        <f>직원인센!L32</f>
        <v>0</v>
      </c>
      <c r="E31" s="43">
        <f>IFERROR(SUMIF(파트인센!A:A,summary!A31,파트인센!AE:AE)*10000,0)</f>
        <v>0</v>
      </c>
      <c r="F31" s="43">
        <f t="shared" si="0"/>
        <v>0</v>
      </c>
      <c r="G31" s="44" t="str">
        <f t="shared" si="1"/>
        <v/>
      </c>
      <c r="I31" s="160">
        <f>VLOOKUP($A31,주류장부!$A$3:$E$34,3,FALSE)</f>
        <v>0</v>
      </c>
      <c r="J31" s="160">
        <f>VLOOKUP($A31,주류장부!$A$3:$E$34,4,FALSE)</f>
        <v>0</v>
      </c>
      <c r="K31" s="160">
        <f>VLOOKUP($A31,주류장부!$A$3:$E$34,5,FALSE)</f>
        <v>0</v>
      </c>
    </row>
    <row r="32" spans="1:11">
      <c r="A32" s="42" t="str">
        <f>'출퇴근 및 급여'!A33</f>
        <v/>
      </c>
      <c r="B32" s="43" t="str">
        <f>주류장부!M33</f>
        <v/>
      </c>
      <c r="C32" s="43">
        <f>'출퇴근 및 급여'!BW33</f>
        <v>0</v>
      </c>
      <c r="D32" s="43">
        <f>직원인센!L33</f>
        <v>0</v>
      </c>
      <c r="E32" s="43">
        <f>IFERROR(SUMIF(파트인센!A:A,summary!A32,파트인센!AE:AE)*10000,0)</f>
        <v>0</v>
      </c>
      <c r="F32" s="43">
        <f t="shared" si="0"/>
        <v>0</v>
      </c>
      <c r="G32" s="44" t="str">
        <f t="shared" si="1"/>
        <v/>
      </c>
      <c r="I32" s="160">
        <f>VLOOKUP($A32,주류장부!$A$3:$E$34,3,FALSE)</f>
        <v>0</v>
      </c>
      <c r="J32" s="160">
        <f>VLOOKUP($A32,주류장부!$A$3:$E$34,4,FALSE)</f>
        <v>0</v>
      </c>
      <c r="K32" s="160">
        <f>VLOOKUP($A32,주류장부!$A$3:$E$34,5,FALSE)</f>
        <v>0</v>
      </c>
    </row>
    <row r="33" spans="1:11">
      <c r="A33" s="42" t="str">
        <f>'출퇴근 및 급여'!A34</f>
        <v/>
      </c>
      <c r="B33" s="43" t="str">
        <f>주류장부!M34</f>
        <v/>
      </c>
      <c r="C33" s="43">
        <f>'출퇴근 및 급여'!BW34</f>
        <v>0</v>
      </c>
      <c r="D33" s="43">
        <f>직원인센!L34</f>
        <v>0</v>
      </c>
      <c r="E33" s="43">
        <f>IFERROR(SUMIF(파트인센!A:A,summary!A33,파트인센!AE:AE)*10000,0)</f>
        <v>0</v>
      </c>
      <c r="F33" s="43">
        <f t="shared" si="0"/>
        <v>0</v>
      </c>
      <c r="G33" s="44" t="str">
        <f t="shared" si="1"/>
        <v/>
      </c>
      <c r="I33" s="160">
        <f>VLOOKUP($A33,주류장부!$A$3:$E$34,3,FALSE)</f>
        <v>0</v>
      </c>
      <c r="J33" s="160">
        <f>VLOOKUP($A33,주류장부!$A$3:$E$34,4,FALSE)</f>
        <v>0</v>
      </c>
      <c r="K33" s="160">
        <f>VLOOKUP($A33,주류장부!$A$3:$E$34,5,FALSE)</f>
        <v>0</v>
      </c>
    </row>
    <row r="34" spans="1:11">
      <c r="A34" t="s">
        <v>38</v>
      </c>
      <c r="B34" s="2">
        <f>SUM(B3:B33)</f>
        <v>25290000</v>
      </c>
      <c r="C34" s="2">
        <f>SUM(C3:C33)</f>
        <v>13881002.435064932</v>
      </c>
      <c r="D34" s="2">
        <f>SUM(D3:D33)</f>
        <v>0</v>
      </c>
      <c r="E34" s="2">
        <f>SUM(E3:E33)</f>
        <v>1703500</v>
      </c>
      <c r="F34" s="2">
        <f>SUM(F3:F33)</f>
        <v>15584502.435064932</v>
      </c>
    </row>
  </sheetData>
  <phoneticPr fontId="1" type="noConversion"/>
  <conditionalFormatting sqref="B3:G33">
    <cfRule type="expression" dxfId="24" priority="5">
      <formula>WEEKDAY($A3,1)=$C$1</formula>
    </cfRule>
    <cfRule type="expression" dxfId="23" priority="6">
      <formula>WEEKDAY($A3,1)=$B$1</formula>
    </cfRule>
  </conditionalFormatting>
  <conditionalFormatting sqref="A3:A33">
    <cfRule type="expression" dxfId="22" priority="3">
      <formula>WEEKDAY($A3,1)=$C$1</formula>
    </cfRule>
    <cfRule type="expression" dxfId="21" priority="4">
      <formula>WEEKDAY($A3,1)=$B$1</formula>
    </cfRule>
  </conditionalFormatting>
  <conditionalFormatting sqref="I3:K33">
    <cfRule type="expression" dxfId="1" priority="1">
      <formula>WEEKDAY($A3,1)=$C$1</formula>
    </cfRule>
    <cfRule type="expression" dxfId="0" priority="2">
      <formula>WEEKDAY($A3,1)=$B$1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XFD55"/>
  <sheetViews>
    <sheetView zoomScale="85" zoomScaleNormal="85" workbookViewId="0">
      <pane xSplit="9" ySplit="2" topLeftCell="AO5" activePane="bottomRight" state="frozen"/>
      <selection pane="topRight" activeCell="K1" sqref="K1"/>
      <selection pane="bottomLeft" activeCell="A3" sqref="A3"/>
      <selection pane="bottomRight" activeCell="AQ16" sqref="AQ16"/>
    </sheetView>
  </sheetViews>
  <sheetFormatPr defaultRowHeight="16.5"/>
  <cols>
    <col min="1" max="1" width="9.75" bestFit="1" customWidth="1"/>
    <col min="2" max="2" width="5.875" customWidth="1"/>
    <col min="3" max="3" width="9.875" bestFit="1" customWidth="1"/>
    <col min="4" max="4" width="5.875" customWidth="1"/>
    <col min="5" max="5" width="9.875" bestFit="1" customWidth="1"/>
    <col min="6" max="6" width="5.875" customWidth="1"/>
    <col min="7" max="7" width="11.625" bestFit="1" customWidth="1"/>
    <col min="8" max="8" width="5.875" customWidth="1"/>
    <col min="9" max="9" width="11.625" bestFit="1" customWidth="1"/>
    <col min="10" max="11" width="5.875" bestFit="1" customWidth="1"/>
    <col min="12" max="12" width="9.875" bestFit="1" customWidth="1"/>
    <col min="13" max="13" width="9.875" customWidth="1"/>
    <col min="14" max="14" width="7.5" bestFit="1" customWidth="1"/>
    <col min="15" max="15" width="5.875" bestFit="1" customWidth="1"/>
    <col min="16" max="16" width="9.875" bestFit="1" customWidth="1"/>
    <col min="17" max="17" width="11" bestFit="1" customWidth="1"/>
    <col min="18" max="18" width="7.5" bestFit="1" customWidth="1"/>
    <col min="19" max="19" width="6.25" bestFit="1" customWidth="1"/>
    <col min="20" max="20" width="9.875" bestFit="1" customWidth="1"/>
    <col min="21" max="21" width="9.875" customWidth="1"/>
    <col min="22" max="22" width="7.5" bestFit="1" customWidth="1"/>
    <col min="23" max="23" width="5.875" bestFit="1" customWidth="1"/>
    <col min="24" max="24" width="9.875" bestFit="1" customWidth="1"/>
    <col min="25" max="25" width="9.875" customWidth="1"/>
    <col min="26" max="26" width="7.5" bestFit="1" customWidth="1"/>
    <col min="27" max="27" width="6.25" bestFit="1" customWidth="1"/>
    <col min="28" max="28" width="9.875" bestFit="1" customWidth="1"/>
    <col min="29" max="29" width="9.875" customWidth="1"/>
    <col min="30" max="30" width="7.5" bestFit="1" customWidth="1"/>
    <col min="31" max="31" width="6.25" bestFit="1" customWidth="1"/>
    <col min="32" max="32" width="8.5" bestFit="1" customWidth="1"/>
    <col min="33" max="33" width="9.875" customWidth="1"/>
    <col min="34" max="34" width="7.5" bestFit="1" customWidth="1"/>
    <col min="35" max="35" width="5.25" bestFit="1" customWidth="1"/>
    <col min="36" max="36" width="8.5" bestFit="1" customWidth="1"/>
    <col min="37" max="37" width="9.875" customWidth="1"/>
    <col min="38" max="38" width="7.5" bestFit="1" customWidth="1"/>
    <col min="39" max="39" width="5.25" bestFit="1" customWidth="1"/>
    <col min="40" max="40" width="9.875" bestFit="1" customWidth="1"/>
    <col min="41" max="41" width="9.875" customWidth="1"/>
    <col min="42" max="42" width="7.5" bestFit="1" customWidth="1"/>
    <col min="43" max="43" width="6.25" bestFit="1" customWidth="1"/>
    <col min="44" max="44" width="9.875" bestFit="1" customWidth="1"/>
    <col min="45" max="45" width="9.875" customWidth="1"/>
    <col min="46" max="46" width="7.5" bestFit="1" customWidth="1"/>
    <col min="47" max="47" width="5.875" bestFit="1" customWidth="1"/>
    <col min="48" max="48" width="9.875" bestFit="1" customWidth="1"/>
    <col min="49" max="49" width="9.875" customWidth="1"/>
    <col min="50" max="50" width="7.5" bestFit="1" customWidth="1"/>
    <col min="51" max="51" width="5.875" bestFit="1" customWidth="1"/>
    <col min="52" max="52" width="9.875" bestFit="1" customWidth="1"/>
    <col min="53" max="53" width="9.875" customWidth="1"/>
    <col min="54" max="54" width="7.5" bestFit="1" customWidth="1"/>
    <col min="55" max="55" width="6.25" bestFit="1" customWidth="1"/>
    <col min="56" max="56" width="8.5" bestFit="1" customWidth="1"/>
    <col min="57" max="57" width="9.875" customWidth="1"/>
    <col min="58" max="58" width="7.5" bestFit="1" customWidth="1"/>
    <col min="59" max="59" width="5.25" bestFit="1" customWidth="1"/>
    <col min="60" max="60" width="8.5" bestFit="1" customWidth="1"/>
    <col min="61" max="61" width="9.875" customWidth="1"/>
    <col min="62" max="62" width="7.5" bestFit="1" customWidth="1"/>
    <col min="63" max="63" width="5.875" bestFit="1" customWidth="1"/>
    <col min="64" max="64" width="8.5" bestFit="1" customWidth="1"/>
    <col min="65" max="65" width="9.875" customWidth="1"/>
    <col min="66" max="66" width="7.5" bestFit="1" customWidth="1"/>
    <col min="67" max="67" width="5.25" bestFit="1" customWidth="1"/>
    <col min="68" max="68" width="8.5" bestFit="1" customWidth="1"/>
    <col min="69" max="69" width="9.875" customWidth="1"/>
    <col min="70" max="70" width="7.5" bestFit="1" customWidth="1"/>
    <col min="71" max="71" width="5.25" bestFit="1" customWidth="1"/>
    <col min="72" max="72" width="8.5" bestFit="1" customWidth="1"/>
    <col min="73" max="73" width="9.875" customWidth="1"/>
    <col min="74" max="74" width="2.75" customWidth="1"/>
    <col min="75" max="76" width="14.375" bestFit="1" customWidth="1"/>
    <col min="77" max="77" width="11" customWidth="1"/>
  </cols>
  <sheetData>
    <row r="1" spans="1:77" ht="17.25" thickBot="1">
      <c r="A1">
        <v>2023</v>
      </c>
      <c r="B1">
        <v>1</v>
      </c>
      <c r="C1">
        <v>7</v>
      </c>
      <c r="G1">
        <v>20</v>
      </c>
      <c r="I1">
        <v>20</v>
      </c>
      <c r="BY1" s="12"/>
    </row>
    <row r="2" spans="1:77" ht="17.25" thickBot="1">
      <c r="A2" s="28">
        <v>2</v>
      </c>
      <c r="B2" s="131" t="s">
        <v>3</v>
      </c>
      <c r="C2" s="132">
        <v>3000000</v>
      </c>
      <c r="D2" s="133" t="s">
        <v>63</v>
      </c>
      <c r="E2" s="132">
        <v>2300000</v>
      </c>
      <c r="F2" s="23"/>
      <c r="G2" s="30"/>
      <c r="H2" s="23"/>
      <c r="I2" s="30"/>
      <c r="J2" s="33" t="s">
        <v>64</v>
      </c>
      <c r="K2" s="34"/>
      <c r="L2" s="34" t="s">
        <v>24</v>
      </c>
      <c r="M2" s="35">
        <f>5800000/132</f>
        <v>43939.393939393936</v>
      </c>
      <c r="N2" s="33" t="s">
        <v>65</v>
      </c>
      <c r="O2" s="34"/>
      <c r="P2" s="34" t="s">
        <v>24</v>
      </c>
      <c r="Q2" s="35">
        <v>50000</v>
      </c>
      <c r="R2" s="33" t="s">
        <v>66</v>
      </c>
      <c r="S2" s="34"/>
      <c r="T2" s="34" t="s">
        <v>24</v>
      </c>
      <c r="U2" s="35">
        <v>37000</v>
      </c>
      <c r="V2" s="33" t="s">
        <v>74</v>
      </c>
      <c r="W2" s="34"/>
      <c r="X2" s="34" t="s">
        <v>24</v>
      </c>
      <c r="Y2" s="35">
        <v>33000</v>
      </c>
      <c r="Z2" s="33" t="s">
        <v>67</v>
      </c>
      <c r="AA2" s="34"/>
      <c r="AB2" s="34" t="s">
        <v>24</v>
      </c>
      <c r="AC2" s="35">
        <v>45000</v>
      </c>
      <c r="AD2" s="33" t="s">
        <v>68</v>
      </c>
      <c r="AE2" s="34"/>
      <c r="AF2" s="34" t="s">
        <v>24</v>
      </c>
      <c r="AG2" s="35">
        <v>45000</v>
      </c>
      <c r="AH2" s="33" t="s">
        <v>69</v>
      </c>
      <c r="AI2" s="34"/>
      <c r="AJ2" s="34" t="s">
        <v>24</v>
      </c>
      <c r="AK2" s="36">
        <v>50000</v>
      </c>
      <c r="AL2" s="33" t="s">
        <v>70</v>
      </c>
      <c r="AM2" s="34"/>
      <c r="AN2" s="34" t="s">
        <v>24</v>
      </c>
      <c r="AO2" s="35">
        <v>50000</v>
      </c>
      <c r="AP2" s="33" t="s">
        <v>71</v>
      </c>
      <c r="AQ2" s="34"/>
      <c r="AR2" s="34" t="s">
        <v>24</v>
      </c>
      <c r="AS2" s="35">
        <v>30000</v>
      </c>
      <c r="AT2" s="33"/>
      <c r="AU2" s="34"/>
      <c r="AV2" s="34" t="s">
        <v>24</v>
      </c>
      <c r="AW2" s="35"/>
      <c r="AX2" s="33"/>
      <c r="AY2" s="34"/>
      <c r="AZ2" s="34" t="s">
        <v>24</v>
      </c>
      <c r="BA2" s="35"/>
      <c r="BB2" s="33"/>
      <c r="BC2" s="34"/>
      <c r="BD2" s="34" t="s">
        <v>24</v>
      </c>
      <c r="BE2" s="35"/>
      <c r="BF2" s="33"/>
      <c r="BG2" s="34"/>
      <c r="BH2" s="34" t="s">
        <v>24</v>
      </c>
      <c r="BI2" s="35"/>
      <c r="BJ2" s="33"/>
      <c r="BK2" s="34"/>
      <c r="BL2" s="34" t="s">
        <v>24</v>
      </c>
      <c r="BM2" s="35"/>
      <c r="BN2" s="33"/>
      <c r="BO2" s="34"/>
      <c r="BP2" s="34" t="s">
        <v>24</v>
      </c>
      <c r="BQ2" s="35"/>
      <c r="BR2" s="33"/>
      <c r="BS2" s="34"/>
      <c r="BT2" s="34" t="s">
        <v>24</v>
      </c>
      <c r="BU2" s="35"/>
    </row>
    <row r="3" spans="1:77" ht="17.25" thickBot="1">
      <c r="A3">
        <f>VLOOKUP(A2,달력!A1:B12,2,FALSE)</f>
        <v>28</v>
      </c>
      <c r="B3" s="18" t="s">
        <v>0</v>
      </c>
      <c r="C3" s="19" t="s">
        <v>27</v>
      </c>
      <c r="D3" s="19" t="s">
        <v>0</v>
      </c>
      <c r="E3" s="20" t="s">
        <v>27</v>
      </c>
      <c r="F3" s="21" t="s">
        <v>0</v>
      </c>
      <c r="G3" s="20" t="s">
        <v>27</v>
      </c>
      <c r="H3" s="21" t="s">
        <v>0</v>
      </c>
      <c r="I3" s="20" t="s">
        <v>27</v>
      </c>
      <c r="J3" s="14" t="s">
        <v>0</v>
      </c>
      <c r="K3" s="8" t="s">
        <v>1</v>
      </c>
      <c r="L3" s="8" t="s">
        <v>2</v>
      </c>
      <c r="M3" s="9" t="s">
        <v>26</v>
      </c>
      <c r="N3" s="7" t="s">
        <v>0</v>
      </c>
      <c r="O3" s="8" t="s">
        <v>1</v>
      </c>
      <c r="P3" s="8" t="s">
        <v>2</v>
      </c>
      <c r="Q3" s="9" t="s">
        <v>26</v>
      </c>
      <c r="R3" s="7" t="s">
        <v>0</v>
      </c>
      <c r="S3" s="8" t="s">
        <v>1</v>
      </c>
      <c r="T3" s="8" t="s">
        <v>2</v>
      </c>
      <c r="U3" s="9" t="s">
        <v>26</v>
      </c>
      <c r="V3" s="7" t="s">
        <v>0</v>
      </c>
      <c r="W3" s="8" t="s">
        <v>1</v>
      </c>
      <c r="X3" s="8" t="s">
        <v>2</v>
      </c>
      <c r="Y3" s="9" t="s">
        <v>26</v>
      </c>
      <c r="Z3" s="7" t="s">
        <v>0</v>
      </c>
      <c r="AA3" s="8" t="s">
        <v>1</v>
      </c>
      <c r="AB3" s="8" t="s">
        <v>2</v>
      </c>
      <c r="AC3" s="9" t="s">
        <v>26</v>
      </c>
      <c r="AD3" s="7" t="s">
        <v>0</v>
      </c>
      <c r="AE3" s="8" t="s">
        <v>1</v>
      </c>
      <c r="AF3" s="8" t="s">
        <v>2</v>
      </c>
      <c r="AG3" s="9" t="s">
        <v>26</v>
      </c>
      <c r="AH3" s="7" t="s">
        <v>0</v>
      </c>
      <c r="AI3" s="8" t="s">
        <v>1</v>
      </c>
      <c r="AJ3" s="8" t="s">
        <v>2</v>
      </c>
      <c r="AK3" s="9" t="s">
        <v>26</v>
      </c>
      <c r="AL3" s="7" t="s">
        <v>0</v>
      </c>
      <c r="AM3" s="8" t="s">
        <v>1</v>
      </c>
      <c r="AN3" s="8" t="s">
        <v>2</v>
      </c>
      <c r="AO3" s="9" t="s">
        <v>26</v>
      </c>
      <c r="AP3" s="7" t="s">
        <v>0</v>
      </c>
      <c r="AQ3" s="8" t="s">
        <v>1</v>
      </c>
      <c r="AR3" s="8" t="s">
        <v>2</v>
      </c>
      <c r="AS3" s="9" t="s">
        <v>26</v>
      </c>
      <c r="AT3" s="7" t="s">
        <v>0</v>
      </c>
      <c r="AU3" s="8" t="s">
        <v>1</v>
      </c>
      <c r="AV3" s="8" t="s">
        <v>2</v>
      </c>
      <c r="AW3" s="9" t="s">
        <v>26</v>
      </c>
      <c r="AX3" s="7" t="s">
        <v>0</v>
      </c>
      <c r="AY3" s="8" t="s">
        <v>1</v>
      </c>
      <c r="AZ3" s="8" t="s">
        <v>2</v>
      </c>
      <c r="BA3" s="9" t="s">
        <v>26</v>
      </c>
      <c r="BB3" s="7" t="s">
        <v>0</v>
      </c>
      <c r="BC3" s="8" t="s">
        <v>1</v>
      </c>
      <c r="BD3" s="8" t="s">
        <v>2</v>
      </c>
      <c r="BE3" s="9" t="s">
        <v>26</v>
      </c>
      <c r="BF3" s="7" t="s">
        <v>0</v>
      </c>
      <c r="BG3" s="8" t="s">
        <v>1</v>
      </c>
      <c r="BH3" s="8" t="s">
        <v>2</v>
      </c>
      <c r="BI3" s="9" t="s">
        <v>26</v>
      </c>
      <c r="BJ3" s="7" t="s">
        <v>0</v>
      </c>
      <c r="BK3" s="8" t="s">
        <v>1</v>
      </c>
      <c r="BL3" s="8" t="s">
        <v>2</v>
      </c>
      <c r="BM3" s="9" t="s">
        <v>26</v>
      </c>
      <c r="BN3" s="7" t="s">
        <v>0</v>
      </c>
      <c r="BO3" s="8" t="s">
        <v>1</v>
      </c>
      <c r="BP3" s="8" t="s">
        <v>2</v>
      </c>
      <c r="BQ3" s="9" t="s">
        <v>26</v>
      </c>
      <c r="BR3" s="7" t="s">
        <v>0</v>
      </c>
      <c r="BS3" s="8" t="s">
        <v>1</v>
      </c>
      <c r="BT3" s="8" t="s">
        <v>2</v>
      </c>
      <c r="BU3" s="9" t="s">
        <v>26</v>
      </c>
      <c r="BW3" s="24" t="s">
        <v>25</v>
      </c>
      <c r="BX3" s="24" t="s">
        <v>31</v>
      </c>
      <c r="BY3" s="12"/>
    </row>
    <row r="4" spans="1:77">
      <c r="A4" s="1">
        <f>DATE($A$1,$A$2,1)</f>
        <v>44958</v>
      </c>
      <c r="B4" s="15">
        <v>1</v>
      </c>
      <c r="C4" s="16">
        <f>C$2/$A$3*B4</f>
        <v>107142.85714285714</v>
      </c>
      <c r="D4" s="17"/>
      <c r="E4" s="16">
        <f>E$2/$A$3*D4</f>
        <v>0</v>
      </c>
      <c r="F4" s="17"/>
      <c r="G4" s="29">
        <f>IF(SUM(F$4:F4)&gt;G$1,0,F4*(G$2/G$1))</f>
        <v>0</v>
      </c>
      <c r="H4" s="17"/>
      <c r="I4" s="29">
        <f>IF(SUM(H$4:H4)&gt;I$1,0,H4*(I$2/I$1))</f>
        <v>0</v>
      </c>
      <c r="J4" s="22">
        <v>0.83333333333333337</v>
      </c>
      <c r="K4" s="4">
        <v>0</v>
      </c>
      <c r="L4" s="5">
        <f t="shared" ref="L4:L34" si="0">IF(J4 = "", "休",(K4-J4+(K4&lt;J4))*24)</f>
        <v>3.9999999999999991</v>
      </c>
      <c r="M4" s="6">
        <f t="shared" ref="M4:M34" si="1">IF(L4="休","",L4*M$2)</f>
        <v>175757.57575757572</v>
      </c>
      <c r="N4" s="22"/>
      <c r="O4" s="4"/>
      <c r="P4" s="5" t="str">
        <f>IF(N4 = "", "休",(O4-N4+(O4&lt;N4))*24)</f>
        <v>休</v>
      </c>
      <c r="Q4" s="6" t="str">
        <f t="shared" ref="Q4:Q34" si="2">IF(P4="休","",P4*Q$2)</f>
        <v/>
      </c>
      <c r="R4" s="22"/>
      <c r="S4" s="4"/>
      <c r="T4" s="5" t="str">
        <f>IF(R4 = "", "休",(S4-R4+(S4&lt;R4))*24)</f>
        <v>休</v>
      </c>
      <c r="U4" s="6" t="str">
        <f t="shared" ref="U4:U34" si="3">IF(T4="休","",T4*U$2)</f>
        <v/>
      </c>
      <c r="V4" s="3"/>
      <c r="W4" s="4"/>
      <c r="X4" s="5" t="str">
        <f>IF(V4 = "", "休",(W4-V4+(W4&lt;V4))*24)</f>
        <v>休</v>
      </c>
      <c r="Y4" s="6" t="str">
        <f t="shared" ref="Y4:Y34" si="4">IF(X4="休","",X4*Y$2)</f>
        <v/>
      </c>
      <c r="Z4" s="22">
        <v>0.83333333333333337</v>
      </c>
      <c r="AA4" s="4">
        <v>0.9375</v>
      </c>
      <c r="AB4" s="5">
        <f>IF(Z4 = "", "休",(AA4-Z4+(AA4&lt;Z4))*24)</f>
        <v>2.4999999999999991</v>
      </c>
      <c r="AC4" s="6">
        <f t="shared" ref="AC4:AC34" si="5">IF(AB4="休","",AB4*AC$2)</f>
        <v>112499.99999999996</v>
      </c>
      <c r="AD4" s="22">
        <v>0.83333333333333337</v>
      </c>
      <c r="AE4" s="4">
        <v>0.9375</v>
      </c>
      <c r="AF4" s="5">
        <f>IF(AD4 = "", "休",(AE4-AD4+(AE4&lt;AD4))*24)</f>
        <v>2.4999999999999991</v>
      </c>
      <c r="AG4" s="6">
        <f t="shared" ref="AG4:AG34" si="6">IF(AF4="休","",AF4*AG$2)</f>
        <v>112499.99999999996</v>
      </c>
      <c r="AH4" s="22"/>
      <c r="AI4" s="4"/>
      <c r="AJ4" s="5" t="str">
        <f>IF(AH4 = "", "休",(AI4-AH4+(AI4&lt;AH4))*24)</f>
        <v>休</v>
      </c>
      <c r="AK4" s="6" t="str">
        <f t="shared" ref="AK4:AK34" si="7">IF(AJ4="休","",AJ4*AK$2)</f>
        <v/>
      </c>
      <c r="AL4" s="22"/>
      <c r="AM4" s="4"/>
      <c r="AN4" s="5" t="str">
        <f>IF(AL4 = "", "休",(AM4-AL4+(AM4&lt;AL4))*24)</f>
        <v>休</v>
      </c>
      <c r="AO4" s="6" t="str">
        <f t="shared" ref="AO4:AO34" si="8">IF(AN4="休","",AN4*AO$2)</f>
        <v/>
      </c>
      <c r="AP4" s="22">
        <v>0.8125</v>
      </c>
      <c r="AQ4" s="4">
        <v>0.9375</v>
      </c>
      <c r="AR4" s="5">
        <f>IF(AP4 = "", "休",(AQ4-AP4+(AQ4&lt;AP4))*24)</f>
        <v>3</v>
      </c>
      <c r="AS4" s="6">
        <f t="shared" ref="AS4:AS34" si="9">IF(AR4="休","",AR4*AS$2)</f>
        <v>90000</v>
      </c>
      <c r="AT4" s="3"/>
      <c r="AU4" s="4"/>
      <c r="AV4" s="5" t="str">
        <f>IF(AT4 = "", "休",(AU4-AT4+(AU4&lt;AT4))*24)</f>
        <v>休</v>
      </c>
      <c r="AW4" s="6" t="str">
        <f t="shared" ref="AW4:AW34" si="10">IF(AV4="休","",AV4*AW$2)</f>
        <v/>
      </c>
      <c r="AX4" s="22"/>
      <c r="AY4" s="4"/>
      <c r="AZ4" s="5" t="str">
        <f>IF(AX4 = "", "休",(AY4-AX4+(AY4&lt;AX4))*24)</f>
        <v>休</v>
      </c>
      <c r="BA4" s="6" t="str">
        <f t="shared" ref="BA4:BA34" si="11">IF(AZ4="休","",AZ4*BA$2)</f>
        <v/>
      </c>
      <c r="BB4" s="3"/>
      <c r="BC4" s="4"/>
      <c r="BD4" s="5" t="str">
        <f>IF(BB4 = "", "休",(BC4-BB4+(BC4&lt;BB4))*24)</f>
        <v>休</v>
      </c>
      <c r="BE4" s="6" t="str">
        <f t="shared" ref="BE4:BE34" si="12">IF(BD4="休","",BD4*BE$2)</f>
        <v/>
      </c>
      <c r="BF4" s="3"/>
      <c r="BG4" s="4"/>
      <c r="BH4" s="5" t="str">
        <f>IF(BF4 = "", "休",(BG4-BF4+(BG4&lt;BF4))*24)</f>
        <v>休</v>
      </c>
      <c r="BI4" s="6" t="str">
        <f t="shared" ref="BI4:BI34" si="13">IF(BH4="休","",BH4*BI$2)</f>
        <v/>
      </c>
      <c r="BJ4" s="3"/>
      <c r="BK4" s="4"/>
      <c r="BL4" s="5" t="str">
        <f>IF(BJ4 = "", "休",(BK4-BJ4+(BK4&lt;BJ4))*24)</f>
        <v>休</v>
      </c>
      <c r="BM4" s="6" t="str">
        <f t="shared" ref="BM4:BM34" si="14">IF(BL4="休","",BL4*BM$2)</f>
        <v/>
      </c>
      <c r="BN4" s="3"/>
      <c r="BO4" s="4"/>
      <c r="BP4" s="5" t="str">
        <f>IF(BN4 = "", "休",(BO4-BN4+(BO4&lt;BN4))*24)</f>
        <v>休</v>
      </c>
      <c r="BQ4" s="6" t="str">
        <f t="shared" ref="BQ4:BQ34" si="15">IF(BP4="休","",BP4*BQ$2)</f>
        <v/>
      </c>
      <c r="BR4" s="3"/>
      <c r="BS4" s="4"/>
      <c r="BT4" s="5" t="str">
        <f>IF(BR4 = "", "休",(BS4-BR4+(BS4&lt;BR4))*24)</f>
        <v>休</v>
      </c>
      <c r="BU4" s="6" t="str">
        <f t="shared" ref="BU4:BU34" si="16">IF(BT4="休","",BT4*BU$2)</f>
        <v/>
      </c>
      <c r="BW4" s="16">
        <f>(SUMIF($B$3:$BV$3,"당일 급여",B4:BV4)+IFERROR(#REF!*#REF!/100,0))*0.967</f>
        <v>578169.71861471841</v>
      </c>
      <c r="BX4" s="16">
        <f>BW4</f>
        <v>578169.71861471841</v>
      </c>
      <c r="BY4" s="12"/>
    </row>
    <row r="5" spans="1:77">
      <c r="A5" s="1">
        <f>A4+1</f>
        <v>44959</v>
      </c>
      <c r="B5" s="15">
        <v>1</v>
      </c>
      <c r="C5" s="16">
        <f t="shared" ref="C5:E34" si="17">C$2/$A$3*B5</f>
        <v>107142.85714285714</v>
      </c>
      <c r="D5" s="17"/>
      <c r="E5" s="16">
        <f t="shared" si="17"/>
        <v>0</v>
      </c>
      <c r="F5" s="17"/>
      <c r="G5" s="29">
        <f>IF(SUM(F$4:F5)&gt;G$1,0,F5*(G$2/G$1))</f>
        <v>0</v>
      </c>
      <c r="H5" s="17"/>
      <c r="I5" s="29">
        <f>IF(SUM(H$4:H5)&gt;I$1,0,H5*(I$2/I$1))</f>
        <v>0</v>
      </c>
      <c r="J5" s="22">
        <v>0.83333333333333337</v>
      </c>
      <c r="K5" s="4">
        <v>8.3333333333333329E-2</v>
      </c>
      <c r="L5" s="5">
        <f t="shared" si="0"/>
        <v>6</v>
      </c>
      <c r="M5" s="6">
        <f t="shared" si="1"/>
        <v>263636.36363636365</v>
      </c>
      <c r="N5" s="22">
        <v>0.83333333333333337</v>
      </c>
      <c r="O5" s="4">
        <v>0.97916666666666663</v>
      </c>
      <c r="P5" s="5">
        <f t="shared" ref="P5:P34" si="18">IF(N5 = "", "休",(O5-N5+(O5&lt;N5))*24)</f>
        <v>3.4999999999999982</v>
      </c>
      <c r="Q5" s="6">
        <f t="shared" si="2"/>
        <v>174999.99999999991</v>
      </c>
      <c r="R5" s="22">
        <v>0.83333333333333337</v>
      </c>
      <c r="S5" s="4">
        <v>1</v>
      </c>
      <c r="T5" s="5">
        <f t="shared" ref="T5:T34" si="19">IF(R5 = "", "休",(S5-R5+(S5&lt;R5))*24)</f>
        <v>3.9999999999999991</v>
      </c>
      <c r="U5" s="6">
        <f t="shared" si="3"/>
        <v>147999.99999999997</v>
      </c>
      <c r="V5" s="3"/>
      <c r="W5" s="4"/>
      <c r="X5" s="5" t="str">
        <f t="shared" ref="X5:X34" si="20">IF(V5 = "", "休",(W5-V5+(W5&lt;V5))*24)</f>
        <v>休</v>
      </c>
      <c r="Y5" s="6" t="str">
        <f t="shared" si="4"/>
        <v/>
      </c>
      <c r="Z5" s="22">
        <v>0.83333333333333337</v>
      </c>
      <c r="AA5" s="4">
        <v>0.95833333333333337</v>
      </c>
      <c r="AB5" s="5">
        <f t="shared" ref="AB5:AB34" si="21">IF(Z5 = "", "休",(AA5-Z5+(AA5&lt;Z5))*24)</f>
        <v>3</v>
      </c>
      <c r="AC5" s="6">
        <f t="shared" si="5"/>
        <v>135000</v>
      </c>
      <c r="AD5" s="22">
        <v>0.875</v>
      </c>
      <c r="AE5" s="4">
        <v>0.95833333333333337</v>
      </c>
      <c r="AF5" s="5">
        <f t="shared" ref="AF5:AF34" si="22">IF(AD5 = "", "休",(AE5-AD5+(AE5&lt;AD5))*24)</f>
        <v>2.0000000000000009</v>
      </c>
      <c r="AG5" s="6">
        <f t="shared" si="6"/>
        <v>90000.000000000044</v>
      </c>
      <c r="AH5" s="22"/>
      <c r="AI5" s="4"/>
      <c r="AJ5" s="5" t="str">
        <f t="shared" ref="AJ5:AJ34" si="23">IF(AH5 = "", "休",(AI5-AH5+(AI5&lt;AH5))*24)</f>
        <v>休</v>
      </c>
      <c r="AK5" s="6" t="str">
        <f t="shared" si="7"/>
        <v/>
      </c>
      <c r="AL5" s="22"/>
      <c r="AM5" s="4"/>
      <c r="AN5" s="5" t="str">
        <f t="shared" ref="AN5:AN34" si="24">IF(AL5 = "", "休",(AM5-AL5+(AM5&lt;AL5))*24)</f>
        <v>休</v>
      </c>
      <c r="AO5" s="6" t="str">
        <f t="shared" si="8"/>
        <v/>
      </c>
      <c r="AP5" s="22">
        <v>0.8125</v>
      </c>
      <c r="AQ5" s="4">
        <v>0.9375</v>
      </c>
      <c r="AR5" s="5">
        <f t="shared" ref="AR5:AR34" si="25">IF(AP5 = "", "休",(AQ5-AP5+(AQ5&lt;AP5))*24)</f>
        <v>3</v>
      </c>
      <c r="AS5" s="6">
        <f t="shared" si="9"/>
        <v>90000</v>
      </c>
      <c r="AT5" s="3"/>
      <c r="AU5" s="4"/>
      <c r="AV5" s="5" t="str">
        <f t="shared" ref="AV5:AV34" si="26">IF(AT5 = "", "休",(AU5-AT5+(AU5&lt;AT5))*24)</f>
        <v>休</v>
      </c>
      <c r="AW5" s="6" t="str">
        <f t="shared" si="10"/>
        <v/>
      </c>
      <c r="AX5" s="22"/>
      <c r="AY5" s="4"/>
      <c r="AZ5" s="5" t="str">
        <f t="shared" ref="AZ5:AZ34" si="27">IF(AX5 = "", "休",(AY5-AX5+(AY5&lt;AX5))*24)</f>
        <v>休</v>
      </c>
      <c r="BA5" s="6" t="str">
        <f t="shared" si="11"/>
        <v/>
      </c>
      <c r="BB5" s="3"/>
      <c r="BC5" s="4"/>
      <c r="BD5" s="5" t="str">
        <f t="shared" ref="BD5:BD34" si="28">IF(BB5 = "", "休",(BC5-BB5+(BC5&lt;BB5))*24)</f>
        <v>休</v>
      </c>
      <c r="BE5" s="6" t="str">
        <f t="shared" si="12"/>
        <v/>
      </c>
      <c r="BF5" s="3"/>
      <c r="BG5" s="4"/>
      <c r="BH5" s="5" t="str">
        <f t="shared" ref="BH5:BH34" si="29">IF(BF5 = "", "休",(BG5-BF5+(BG5&lt;BF5))*24)</f>
        <v>休</v>
      </c>
      <c r="BI5" s="6" t="str">
        <f t="shared" si="13"/>
        <v/>
      </c>
      <c r="BJ5" s="3"/>
      <c r="BK5" s="4"/>
      <c r="BL5" s="5" t="str">
        <f t="shared" ref="BL5:BL34" si="30">IF(BJ5 = "", "休",(BK5-BJ5+(BK5&lt;BJ5))*24)</f>
        <v>休</v>
      </c>
      <c r="BM5" s="6" t="str">
        <f t="shared" si="14"/>
        <v/>
      </c>
      <c r="BN5" s="3"/>
      <c r="BO5" s="4"/>
      <c r="BP5" s="5" t="str">
        <f t="shared" ref="BP5:BP34" si="31">IF(BN5 = "", "休",(BO5-BN5+(BO5&lt;BN5))*24)</f>
        <v>休</v>
      </c>
      <c r="BQ5" s="6" t="str">
        <f t="shared" si="15"/>
        <v/>
      </c>
      <c r="BR5" s="3"/>
      <c r="BS5" s="4"/>
      <c r="BT5" s="5" t="str">
        <f t="shared" ref="BT5:BT34" si="32">IF(BR5 = "", "休",(BS5-BR5+(BS5&lt;BR5))*24)</f>
        <v>休</v>
      </c>
      <c r="BU5" s="6" t="str">
        <f t="shared" si="16"/>
        <v/>
      </c>
      <c r="BW5" s="16">
        <f t="shared" ref="BW5:BW34" si="33">(SUMIF($B$3:$BV$3,"당일 급여",B5:BV5))*0.967</f>
        <v>975489.50649350637</v>
      </c>
      <c r="BX5" s="16">
        <f t="shared" ref="BX5:BX35" si="34">BX4+BW5</f>
        <v>1553659.2251082249</v>
      </c>
      <c r="BY5" s="12"/>
    </row>
    <row r="6" spans="1:77">
      <c r="A6" s="1">
        <f t="shared" ref="A6:A31" si="35">A5+1</f>
        <v>44960</v>
      </c>
      <c r="B6" s="15">
        <v>1</v>
      </c>
      <c r="C6" s="16">
        <f t="shared" si="17"/>
        <v>107142.85714285714</v>
      </c>
      <c r="D6" s="17"/>
      <c r="E6" s="16">
        <f t="shared" si="17"/>
        <v>0</v>
      </c>
      <c r="F6" s="17"/>
      <c r="G6" s="29">
        <f>IF(SUM(F$4:F6)&gt;G$1,0,F6*(G$2/G$1))</f>
        <v>0</v>
      </c>
      <c r="H6" s="17"/>
      <c r="I6" s="29">
        <f>IF(SUM(H$4:H6)&gt;I$1,0,H6*(I$2/I$1))</f>
        <v>0</v>
      </c>
      <c r="J6" s="22">
        <v>0.83333333333333337</v>
      </c>
      <c r="K6" s="4">
        <v>8.3333333333333329E-2</v>
      </c>
      <c r="L6" s="5">
        <f t="shared" si="0"/>
        <v>6</v>
      </c>
      <c r="M6" s="6">
        <f t="shared" si="1"/>
        <v>263636.36363636365</v>
      </c>
      <c r="N6" s="3">
        <v>0.85416666666666663</v>
      </c>
      <c r="O6" s="4">
        <v>4.1666666666666664E-2</v>
      </c>
      <c r="P6" s="5">
        <f t="shared" si="18"/>
        <v>4.5</v>
      </c>
      <c r="Q6" s="6">
        <f t="shared" si="2"/>
        <v>225000</v>
      </c>
      <c r="R6" s="3"/>
      <c r="S6" s="4"/>
      <c r="T6" s="5" t="str">
        <f t="shared" si="19"/>
        <v>休</v>
      </c>
      <c r="U6" s="6" t="str">
        <f t="shared" si="3"/>
        <v/>
      </c>
      <c r="V6" s="3"/>
      <c r="W6" s="4"/>
      <c r="X6" s="5" t="str">
        <f t="shared" si="20"/>
        <v>休</v>
      </c>
      <c r="Y6" s="6" t="str">
        <f t="shared" si="4"/>
        <v/>
      </c>
      <c r="Z6" s="3"/>
      <c r="AA6" s="4"/>
      <c r="AB6" s="5" t="str">
        <f t="shared" si="21"/>
        <v>休</v>
      </c>
      <c r="AC6" s="6" t="str">
        <f t="shared" si="5"/>
        <v/>
      </c>
      <c r="AD6" s="3"/>
      <c r="AE6" s="4"/>
      <c r="AF6" s="5" t="str">
        <f t="shared" si="22"/>
        <v>休</v>
      </c>
      <c r="AG6" s="6" t="str">
        <f t="shared" si="6"/>
        <v/>
      </c>
      <c r="AH6" s="3">
        <v>0.85416666666666663</v>
      </c>
      <c r="AI6" s="4">
        <v>2.0833333333333332E-2</v>
      </c>
      <c r="AJ6" s="5">
        <f t="shared" si="23"/>
        <v>4.0000000000000018</v>
      </c>
      <c r="AK6" s="6">
        <f t="shared" si="7"/>
        <v>200000.00000000009</v>
      </c>
      <c r="AL6" s="3">
        <v>0.85416666666666663</v>
      </c>
      <c r="AM6" s="4">
        <v>0</v>
      </c>
      <c r="AN6" s="5">
        <f t="shared" si="24"/>
        <v>3.5000000000000009</v>
      </c>
      <c r="AO6" s="6">
        <f t="shared" si="8"/>
        <v>175000.00000000006</v>
      </c>
      <c r="AP6" s="22">
        <v>0.8125</v>
      </c>
      <c r="AQ6" s="4">
        <v>0.9375</v>
      </c>
      <c r="AR6" s="5">
        <f t="shared" si="25"/>
        <v>3</v>
      </c>
      <c r="AS6" s="6">
        <f t="shared" si="9"/>
        <v>90000</v>
      </c>
      <c r="AT6" s="3"/>
      <c r="AU6" s="4"/>
      <c r="AV6" s="5" t="str">
        <f t="shared" si="26"/>
        <v>休</v>
      </c>
      <c r="AW6" s="6" t="str">
        <f t="shared" si="10"/>
        <v/>
      </c>
      <c r="AX6" s="3"/>
      <c r="AY6" s="4"/>
      <c r="AZ6" s="5" t="str">
        <f t="shared" si="27"/>
        <v>休</v>
      </c>
      <c r="BA6" s="6" t="str">
        <f t="shared" si="11"/>
        <v/>
      </c>
      <c r="BB6" s="3"/>
      <c r="BC6" s="4"/>
      <c r="BD6" s="5" t="str">
        <f t="shared" si="28"/>
        <v>休</v>
      </c>
      <c r="BE6" s="6" t="str">
        <f t="shared" si="12"/>
        <v/>
      </c>
      <c r="BF6" s="3"/>
      <c r="BG6" s="4"/>
      <c r="BH6" s="5" t="str">
        <f t="shared" si="29"/>
        <v>休</v>
      </c>
      <c r="BI6" s="6" t="str">
        <f t="shared" si="13"/>
        <v/>
      </c>
      <c r="BJ6" s="3"/>
      <c r="BK6" s="4"/>
      <c r="BL6" s="5" t="str">
        <f t="shared" si="30"/>
        <v>休</v>
      </c>
      <c r="BM6" s="6" t="str">
        <f t="shared" si="14"/>
        <v/>
      </c>
      <c r="BN6" s="3"/>
      <c r="BO6" s="4"/>
      <c r="BP6" s="5" t="str">
        <f t="shared" si="31"/>
        <v>休</v>
      </c>
      <c r="BQ6" s="6" t="str">
        <f t="shared" si="15"/>
        <v/>
      </c>
      <c r="BR6" s="3"/>
      <c r="BS6" s="4"/>
      <c r="BT6" s="5" t="str">
        <f t="shared" si="32"/>
        <v>休</v>
      </c>
      <c r="BU6" s="6" t="str">
        <f t="shared" si="16"/>
        <v/>
      </c>
      <c r="BW6" s="16">
        <f t="shared" si="33"/>
        <v>1025773.5064935067</v>
      </c>
      <c r="BX6" s="16">
        <f t="shared" si="34"/>
        <v>2579432.7316017319</v>
      </c>
      <c r="BY6" s="12"/>
    </row>
    <row r="7" spans="1:77">
      <c r="A7" s="1">
        <f t="shared" si="35"/>
        <v>44961</v>
      </c>
      <c r="B7" s="15">
        <v>1</v>
      </c>
      <c r="C7" s="16">
        <f t="shared" si="17"/>
        <v>107142.85714285714</v>
      </c>
      <c r="D7" s="17"/>
      <c r="E7" s="16">
        <f t="shared" si="17"/>
        <v>0</v>
      </c>
      <c r="F7" s="17"/>
      <c r="G7" s="29">
        <f>IF(SUM(F$4:F7)&gt;G$1,0,F7*(G$2/G$1))</f>
        <v>0</v>
      </c>
      <c r="H7" s="17"/>
      <c r="I7" s="29">
        <f>IF(SUM(H$4:H7)&gt;I$1,0,H7*(I$2/I$1))</f>
        <v>0</v>
      </c>
      <c r="J7" s="22"/>
      <c r="K7" s="4"/>
      <c r="L7" s="5" t="str">
        <f t="shared" si="0"/>
        <v>休</v>
      </c>
      <c r="M7" s="6" t="str">
        <f t="shared" si="1"/>
        <v/>
      </c>
      <c r="N7" s="3"/>
      <c r="O7" s="4"/>
      <c r="P7" s="5" t="str">
        <f t="shared" si="18"/>
        <v>休</v>
      </c>
      <c r="Q7" s="6" t="str">
        <f t="shared" si="2"/>
        <v/>
      </c>
      <c r="R7" s="3"/>
      <c r="S7" s="4"/>
      <c r="T7" s="5" t="str">
        <f t="shared" si="19"/>
        <v>休</v>
      </c>
      <c r="U7" s="6" t="str">
        <f t="shared" si="3"/>
        <v/>
      </c>
      <c r="V7" s="3"/>
      <c r="W7" s="4"/>
      <c r="X7" s="5" t="str">
        <f t="shared" si="20"/>
        <v>休</v>
      </c>
      <c r="Y7" s="6" t="str">
        <f t="shared" si="4"/>
        <v/>
      </c>
      <c r="Z7" s="3"/>
      <c r="AA7" s="4"/>
      <c r="AB7" s="5" t="str">
        <f t="shared" si="21"/>
        <v>休</v>
      </c>
      <c r="AC7" s="6" t="str">
        <f t="shared" si="5"/>
        <v/>
      </c>
      <c r="AD7" s="3"/>
      <c r="AE7" s="4"/>
      <c r="AF7" s="5" t="str">
        <f t="shared" si="22"/>
        <v>休</v>
      </c>
      <c r="AG7" s="6" t="str">
        <f t="shared" si="6"/>
        <v/>
      </c>
      <c r="AH7" s="3"/>
      <c r="AI7" s="4"/>
      <c r="AJ7" s="5" t="str">
        <f t="shared" si="23"/>
        <v>休</v>
      </c>
      <c r="AK7" s="6" t="str">
        <f t="shared" si="7"/>
        <v/>
      </c>
      <c r="AL7" s="3"/>
      <c r="AM7" s="4"/>
      <c r="AN7" s="5" t="str">
        <f t="shared" si="24"/>
        <v>休</v>
      </c>
      <c r="AO7" s="6" t="str">
        <f t="shared" si="8"/>
        <v/>
      </c>
      <c r="AP7" s="3"/>
      <c r="AQ7" s="4"/>
      <c r="AR7" s="5" t="str">
        <f t="shared" si="25"/>
        <v>休</v>
      </c>
      <c r="AS7" s="6" t="str">
        <f t="shared" si="9"/>
        <v/>
      </c>
      <c r="AT7" s="3"/>
      <c r="AU7" s="4"/>
      <c r="AV7" s="5" t="str">
        <f t="shared" si="26"/>
        <v>休</v>
      </c>
      <c r="AW7" s="6" t="str">
        <f t="shared" si="10"/>
        <v/>
      </c>
      <c r="AX7" s="3"/>
      <c r="AY7" s="4"/>
      <c r="AZ7" s="5" t="str">
        <f t="shared" si="27"/>
        <v>休</v>
      </c>
      <c r="BA7" s="6" t="str">
        <f t="shared" si="11"/>
        <v/>
      </c>
      <c r="BB7" s="3"/>
      <c r="BC7" s="4"/>
      <c r="BD7" s="5" t="str">
        <f t="shared" si="28"/>
        <v>休</v>
      </c>
      <c r="BE7" s="6" t="str">
        <f t="shared" si="12"/>
        <v/>
      </c>
      <c r="BF7" s="3"/>
      <c r="BG7" s="4"/>
      <c r="BH7" s="5" t="str">
        <f t="shared" si="29"/>
        <v>休</v>
      </c>
      <c r="BI7" s="6" t="str">
        <f t="shared" si="13"/>
        <v/>
      </c>
      <c r="BJ7" s="3"/>
      <c r="BK7" s="4"/>
      <c r="BL7" s="5" t="str">
        <f t="shared" si="30"/>
        <v>休</v>
      </c>
      <c r="BM7" s="6" t="str">
        <f t="shared" si="14"/>
        <v/>
      </c>
      <c r="BN7" s="3"/>
      <c r="BO7" s="4"/>
      <c r="BP7" s="5" t="str">
        <f t="shared" si="31"/>
        <v>休</v>
      </c>
      <c r="BQ7" s="6" t="str">
        <f t="shared" si="15"/>
        <v/>
      </c>
      <c r="BR7" s="3"/>
      <c r="BS7" s="4"/>
      <c r="BT7" s="5" t="str">
        <f t="shared" si="32"/>
        <v>休</v>
      </c>
      <c r="BU7" s="6" t="str">
        <f t="shared" si="16"/>
        <v/>
      </c>
      <c r="BW7" s="16">
        <f t="shared" si="33"/>
        <v>103607.14285714286</v>
      </c>
      <c r="BX7" s="16">
        <f t="shared" si="34"/>
        <v>2683039.8744588746</v>
      </c>
      <c r="BY7" s="12"/>
    </row>
    <row r="8" spans="1:77">
      <c r="A8" s="1">
        <f t="shared" si="35"/>
        <v>44962</v>
      </c>
      <c r="B8" s="15">
        <v>1</v>
      </c>
      <c r="C8" s="16">
        <f t="shared" si="17"/>
        <v>107142.85714285714</v>
      </c>
      <c r="D8" s="17"/>
      <c r="E8" s="16">
        <f t="shared" si="17"/>
        <v>0</v>
      </c>
      <c r="F8" s="17"/>
      <c r="G8" s="29">
        <f>IF(SUM(F$4:F8)&gt;G$1,0,F8*(G$2/G$1))</f>
        <v>0</v>
      </c>
      <c r="H8" s="17"/>
      <c r="I8" s="29">
        <f>IF(SUM(H$4:H8)&gt;I$1,0,H8*(I$2/I$1))</f>
        <v>0</v>
      </c>
      <c r="J8" s="22"/>
      <c r="K8" s="4"/>
      <c r="L8" s="5" t="str">
        <f t="shared" si="0"/>
        <v>休</v>
      </c>
      <c r="M8" s="6" t="str">
        <f t="shared" si="1"/>
        <v/>
      </c>
      <c r="N8" s="3"/>
      <c r="O8" s="4"/>
      <c r="P8" s="5" t="str">
        <f t="shared" si="18"/>
        <v>休</v>
      </c>
      <c r="Q8" s="6" t="str">
        <f t="shared" si="2"/>
        <v/>
      </c>
      <c r="R8" s="3"/>
      <c r="S8" s="4"/>
      <c r="T8" s="5" t="str">
        <f t="shared" si="19"/>
        <v>休</v>
      </c>
      <c r="U8" s="6" t="str">
        <f t="shared" si="3"/>
        <v/>
      </c>
      <c r="V8" s="3"/>
      <c r="W8" s="4"/>
      <c r="X8" s="5" t="str">
        <f t="shared" si="20"/>
        <v>休</v>
      </c>
      <c r="Y8" s="6" t="str">
        <f t="shared" si="4"/>
        <v/>
      </c>
      <c r="Z8" s="3"/>
      <c r="AA8" s="4"/>
      <c r="AB8" s="5" t="str">
        <f t="shared" si="21"/>
        <v>休</v>
      </c>
      <c r="AC8" s="6" t="str">
        <f t="shared" si="5"/>
        <v/>
      </c>
      <c r="AD8" s="3"/>
      <c r="AE8" s="4"/>
      <c r="AF8" s="5" t="str">
        <f t="shared" si="22"/>
        <v>休</v>
      </c>
      <c r="AG8" s="6" t="str">
        <f t="shared" si="6"/>
        <v/>
      </c>
      <c r="AH8" s="3"/>
      <c r="AI8" s="4"/>
      <c r="AJ8" s="5" t="str">
        <f t="shared" si="23"/>
        <v>休</v>
      </c>
      <c r="AK8" s="6" t="str">
        <f t="shared" si="7"/>
        <v/>
      </c>
      <c r="AL8" s="3"/>
      <c r="AM8" s="4"/>
      <c r="AN8" s="5" t="str">
        <f t="shared" si="24"/>
        <v>休</v>
      </c>
      <c r="AO8" s="6" t="str">
        <f t="shared" si="8"/>
        <v/>
      </c>
      <c r="AP8" s="3"/>
      <c r="AQ8" s="4"/>
      <c r="AR8" s="5" t="str">
        <f t="shared" si="25"/>
        <v>休</v>
      </c>
      <c r="AS8" s="6" t="str">
        <f t="shared" si="9"/>
        <v/>
      </c>
      <c r="AT8" s="3"/>
      <c r="AU8" s="4"/>
      <c r="AV8" s="5" t="str">
        <f t="shared" si="26"/>
        <v>休</v>
      </c>
      <c r="AW8" s="6" t="str">
        <f t="shared" si="10"/>
        <v/>
      </c>
      <c r="AX8" s="3"/>
      <c r="AY8" s="4"/>
      <c r="AZ8" s="5" t="str">
        <f t="shared" si="27"/>
        <v>休</v>
      </c>
      <c r="BA8" s="6" t="str">
        <f t="shared" si="11"/>
        <v/>
      </c>
      <c r="BB8" s="3"/>
      <c r="BC8" s="4"/>
      <c r="BD8" s="5" t="str">
        <f t="shared" si="28"/>
        <v>休</v>
      </c>
      <c r="BE8" s="6" t="str">
        <f t="shared" si="12"/>
        <v/>
      </c>
      <c r="BF8" s="3"/>
      <c r="BG8" s="4"/>
      <c r="BH8" s="5" t="str">
        <f t="shared" si="29"/>
        <v>休</v>
      </c>
      <c r="BI8" s="6" t="str">
        <f t="shared" si="13"/>
        <v/>
      </c>
      <c r="BJ8" s="3"/>
      <c r="BK8" s="4"/>
      <c r="BL8" s="5" t="str">
        <f t="shared" si="30"/>
        <v>休</v>
      </c>
      <c r="BM8" s="6" t="str">
        <f t="shared" si="14"/>
        <v/>
      </c>
      <c r="BN8" s="3"/>
      <c r="BO8" s="4"/>
      <c r="BP8" s="5" t="str">
        <f t="shared" si="31"/>
        <v>休</v>
      </c>
      <c r="BQ8" s="6" t="str">
        <f t="shared" si="15"/>
        <v/>
      </c>
      <c r="BR8" s="3"/>
      <c r="BS8" s="4"/>
      <c r="BT8" s="5" t="str">
        <f t="shared" si="32"/>
        <v>休</v>
      </c>
      <c r="BU8" s="6" t="str">
        <f t="shared" si="16"/>
        <v/>
      </c>
      <c r="BW8" s="16">
        <f t="shared" si="33"/>
        <v>103607.14285714286</v>
      </c>
      <c r="BX8" s="16">
        <f t="shared" si="34"/>
        <v>2786647.0173160173</v>
      </c>
      <c r="BY8" s="12"/>
    </row>
    <row r="9" spans="1:77">
      <c r="A9" s="1">
        <f t="shared" si="35"/>
        <v>44963</v>
      </c>
      <c r="B9" s="15">
        <v>1</v>
      </c>
      <c r="C9" s="16">
        <f t="shared" si="17"/>
        <v>107142.85714285714</v>
      </c>
      <c r="D9" s="17"/>
      <c r="E9" s="16">
        <f t="shared" si="17"/>
        <v>0</v>
      </c>
      <c r="F9" s="17"/>
      <c r="G9" s="29">
        <f>IF(SUM(F$4:F9)&gt;G$1,0,F9*(G$2/G$1))</f>
        <v>0</v>
      </c>
      <c r="H9" s="17"/>
      <c r="I9" s="29">
        <f>IF(SUM(H$4:H9)&gt;I$1,0,H9*(I$2/I$1))</f>
        <v>0</v>
      </c>
      <c r="J9" s="22">
        <v>0.83333333333333337</v>
      </c>
      <c r="K9" s="4">
        <v>4.1666666666666664E-2</v>
      </c>
      <c r="L9" s="5">
        <f t="shared" si="0"/>
        <v>4.9999999999999982</v>
      </c>
      <c r="M9" s="6">
        <f t="shared" si="1"/>
        <v>219696.96969696961</v>
      </c>
      <c r="N9" s="3">
        <v>0.83333333333333337</v>
      </c>
      <c r="O9" s="4">
        <v>0.95833333333333337</v>
      </c>
      <c r="P9" s="5">
        <f t="shared" si="18"/>
        <v>3</v>
      </c>
      <c r="Q9" s="6">
        <f t="shared" si="2"/>
        <v>150000</v>
      </c>
      <c r="R9" s="3">
        <v>0.83333333333333337</v>
      </c>
      <c r="S9" s="4">
        <v>4.1666666666666664E-2</v>
      </c>
      <c r="T9" s="5">
        <f t="shared" si="19"/>
        <v>4.9999999999999982</v>
      </c>
      <c r="U9" s="6">
        <f t="shared" si="3"/>
        <v>184999.99999999994</v>
      </c>
      <c r="V9" s="3"/>
      <c r="W9" s="4"/>
      <c r="X9" s="5" t="str">
        <f t="shared" si="20"/>
        <v>休</v>
      </c>
      <c r="Y9" s="6" t="str">
        <f t="shared" si="4"/>
        <v/>
      </c>
      <c r="Z9" s="3">
        <v>0.83333333333333337</v>
      </c>
      <c r="AA9" s="4">
        <v>0.95833333333333337</v>
      </c>
      <c r="AB9" s="5">
        <f t="shared" si="21"/>
        <v>3</v>
      </c>
      <c r="AC9" s="6">
        <f t="shared" si="5"/>
        <v>135000</v>
      </c>
      <c r="AD9" s="3"/>
      <c r="AE9" s="4"/>
      <c r="AF9" s="5" t="str">
        <f t="shared" si="22"/>
        <v>休</v>
      </c>
      <c r="AG9" s="6" t="str">
        <f t="shared" si="6"/>
        <v/>
      </c>
      <c r="AH9" s="3"/>
      <c r="AI9" s="4"/>
      <c r="AJ9" s="5" t="str">
        <f t="shared" si="23"/>
        <v>休</v>
      </c>
      <c r="AK9" s="6" t="str">
        <f t="shared" si="7"/>
        <v/>
      </c>
      <c r="AL9" s="3"/>
      <c r="AM9" s="4"/>
      <c r="AN9" s="5" t="str">
        <f t="shared" si="24"/>
        <v>休</v>
      </c>
      <c r="AO9" s="6" t="str">
        <f t="shared" si="8"/>
        <v/>
      </c>
      <c r="AP9" s="3">
        <v>0.8125</v>
      </c>
      <c r="AQ9" s="4">
        <v>0.9375</v>
      </c>
      <c r="AR9" s="5">
        <f t="shared" si="25"/>
        <v>3</v>
      </c>
      <c r="AS9" s="6">
        <f t="shared" si="9"/>
        <v>90000</v>
      </c>
      <c r="AT9" s="3"/>
      <c r="AU9" s="4"/>
      <c r="AV9" s="5" t="str">
        <f t="shared" si="26"/>
        <v>休</v>
      </c>
      <c r="AW9" s="6" t="str">
        <f t="shared" si="10"/>
        <v/>
      </c>
      <c r="AX9" s="3"/>
      <c r="AY9" s="4"/>
      <c r="AZ9" s="5" t="str">
        <f t="shared" si="27"/>
        <v>休</v>
      </c>
      <c r="BA9" s="6" t="str">
        <f t="shared" si="11"/>
        <v/>
      </c>
      <c r="BB9" s="3"/>
      <c r="BC9" s="4"/>
      <c r="BD9" s="5" t="str">
        <f t="shared" si="28"/>
        <v>休</v>
      </c>
      <c r="BE9" s="6" t="str">
        <f t="shared" si="12"/>
        <v/>
      </c>
      <c r="BF9" s="3"/>
      <c r="BG9" s="4"/>
      <c r="BH9" s="5" t="str">
        <f t="shared" si="29"/>
        <v>休</v>
      </c>
      <c r="BI9" s="6" t="str">
        <f t="shared" si="13"/>
        <v/>
      </c>
      <c r="BJ9" s="3"/>
      <c r="BK9" s="4"/>
      <c r="BL9" s="5" t="str">
        <f t="shared" si="30"/>
        <v>休</v>
      </c>
      <c r="BM9" s="6" t="str">
        <f t="shared" si="14"/>
        <v/>
      </c>
      <c r="BN9" s="3"/>
      <c r="BO9" s="4"/>
      <c r="BP9" s="5" t="str">
        <f t="shared" si="31"/>
        <v>休</v>
      </c>
      <c r="BQ9" s="6" t="str">
        <f t="shared" si="15"/>
        <v/>
      </c>
      <c r="BR9" s="3"/>
      <c r="BS9" s="4"/>
      <c r="BT9" s="5" t="str">
        <f t="shared" si="32"/>
        <v>休</v>
      </c>
      <c r="BU9" s="6" t="str">
        <f t="shared" si="16"/>
        <v/>
      </c>
      <c r="BW9" s="16">
        <f t="shared" si="33"/>
        <v>857574.11255411245</v>
      </c>
      <c r="BX9" s="16">
        <f t="shared" si="34"/>
        <v>3644221.1298701297</v>
      </c>
      <c r="BY9" s="12"/>
    </row>
    <row r="10" spans="1:77">
      <c r="A10" s="1">
        <f t="shared" si="35"/>
        <v>44964</v>
      </c>
      <c r="B10" s="15">
        <v>1</v>
      </c>
      <c r="C10" s="16">
        <f t="shared" si="17"/>
        <v>107142.85714285714</v>
      </c>
      <c r="D10" s="17">
        <v>1</v>
      </c>
      <c r="E10" s="16">
        <f t="shared" si="17"/>
        <v>82142.857142857145</v>
      </c>
      <c r="F10" s="17"/>
      <c r="G10" s="29">
        <f>IF(SUM(F$4:F10)&gt;G$1,0,F10*(G$2/G$1))</f>
        <v>0</v>
      </c>
      <c r="H10" s="17"/>
      <c r="I10" s="29">
        <f>IF(SUM(H$4:H10)&gt;I$1,0,H10*(I$2/I$1))</f>
        <v>0</v>
      </c>
      <c r="J10" s="22">
        <v>0.83333333333333337</v>
      </c>
      <c r="K10" s="4">
        <v>4.1666666666666664E-2</v>
      </c>
      <c r="L10" s="5">
        <f t="shared" si="0"/>
        <v>4.9999999999999982</v>
      </c>
      <c r="M10" s="6">
        <f t="shared" si="1"/>
        <v>219696.96969696961</v>
      </c>
      <c r="N10" s="3">
        <v>0.83333333333333337</v>
      </c>
      <c r="O10" s="4">
        <v>0.95833333333333337</v>
      </c>
      <c r="P10" s="5">
        <f t="shared" si="18"/>
        <v>3</v>
      </c>
      <c r="Q10" s="6">
        <f t="shared" si="2"/>
        <v>150000</v>
      </c>
      <c r="R10" s="3">
        <v>0.83333333333333337</v>
      </c>
      <c r="S10" s="4">
        <v>0</v>
      </c>
      <c r="T10" s="5">
        <f t="shared" si="19"/>
        <v>3.9999999999999991</v>
      </c>
      <c r="U10" s="6">
        <f t="shared" si="3"/>
        <v>147999.99999999997</v>
      </c>
      <c r="V10" s="3"/>
      <c r="W10" s="4"/>
      <c r="X10" s="5" t="str">
        <f t="shared" si="20"/>
        <v>休</v>
      </c>
      <c r="Y10" s="6" t="str">
        <f t="shared" si="4"/>
        <v/>
      </c>
      <c r="Z10" s="3">
        <v>0.83333333333333337</v>
      </c>
      <c r="AA10" s="4">
        <v>0.95833333333333337</v>
      </c>
      <c r="AB10" s="5">
        <f t="shared" si="21"/>
        <v>3</v>
      </c>
      <c r="AC10" s="6">
        <f t="shared" si="5"/>
        <v>135000</v>
      </c>
      <c r="AD10" s="3"/>
      <c r="AE10" s="4"/>
      <c r="AF10" s="5" t="str">
        <f t="shared" si="22"/>
        <v>休</v>
      </c>
      <c r="AG10" s="6" t="str">
        <f t="shared" si="6"/>
        <v/>
      </c>
      <c r="AH10" s="3"/>
      <c r="AI10" s="4"/>
      <c r="AJ10" s="5" t="str">
        <f t="shared" si="23"/>
        <v>休</v>
      </c>
      <c r="AK10" s="6" t="str">
        <f t="shared" si="7"/>
        <v/>
      </c>
      <c r="AL10" s="3"/>
      <c r="AM10" s="4"/>
      <c r="AN10" s="5" t="str">
        <f t="shared" si="24"/>
        <v>休</v>
      </c>
      <c r="AO10" s="6" t="str">
        <f t="shared" si="8"/>
        <v/>
      </c>
      <c r="AP10" s="3">
        <v>0.8125</v>
      </c>
      <c r="AQ10" s="4">
        <v>0.9375</v>
      </c>
      <c r="AR10" s="5">
        <f t="shared" si="25"/>
        <v>3</v>
      </c>
      <c r="AS10" s="6">
        <f t="shared" si="9"/>
        <v>90000</v>
      </c>
      <c r="AT10" s="3"/>
      <c r="AU10" s="4"/>
      <c r="AV10" s="5" t="str">
        <f t="shared" si="26"/>
        <v>休</v>
      </c>
      <c r="AW10" s="6" t="str">
        <f t="shared" si="10"/>
        <v/>
      </c>
      <c r="AX10" s="3"/>
      <c r="AY10" s="4"/>
      <c r="AZ10" s="5" t="str">
        <f t="shared" si="27"/>
        <v>休</v>
      </c>
      <c r="BA10" s="6" t="str">
        <f t="shared" si="11"/>
        <v/>
      </c>
      <c r="BB10" s="3"/>
      <c r="BC10" s="4"/>
      <c r="BD10" s="5" t="str">
        <f t="shared" si="28"/>
        <v>休</v>
      </c>
      <c r="BE10" s="6" t="str">
        <f t="shared" si="12"/>
        <v/>
      </c>
      <c r="BF10" s="3"/>
      <c r="BG10" s="4"/>
      <c r="BH10" s="5" t="str">
        <f t="shared" si="29"/>
        <v>休</v>
      </c>
      <c r="BI10" s="6" t="str">
        <f t="shared" si="13"/>
        <v/>
      </c>
      <c r="BJ10" s="3"/>
      <c r="BK10" s="4"/>
      <c r="BL10" s="5" t="str">
        <f t="shared" si="30"/>
        <v>休</v>
      </c>
      <c r="BM10" s="6" t="str">
        <f t="shared" si="14"/>
        <v/>
      </c>
      <c r="BN10" s="3"/>
      <c r="BO10" s="4"/>
      <c r="BP10" s="5" t="str">
        <f t="shared" si="31"/>
        <v>休</v>
      </c>
      <c r="BQ10" s="6" t="str">
        <f t="shared" si="15"/>
        <v/>
      </c>
      <c r="BR10" s="3"/>
      <c r="BS10" s="4"/>
      <c r="BT10" s="5" t="str">
        <f t="shared" si="32"/>
        <v>休</v>
      </c>
      <c r="BU10" s="6" t="str">
        <f t="shared" si="16"/>
        <v/>
      </c>
      <c r="BW10" s="16">
        <f t="shared" si="33"/>
        <v>901227.25541125529</v>
      </c>
      <c r="BX10" s="16">
        <f t="shared" si="34"/>
        <v>4545448.3852813849</v>
      </c>
      <c r="BY10" s="12"/>
    </row>
    <row r="11" spans="1:77">
      <c r="A11" s="1">
        <f t="shared" si="35"/>
        <v>44965</v>
      </c>
      <c r="B11" s="15">
        <v>1</v>
      </c>
      <c r="C11" s="16">
        <f t="shared" si="17"/>
        <v>107142.85714285714</v>
      </c>
      <c r="D11" s="17">
        <v>1</v>
      </c>
      <c r="E11" s="16">
        <f t="shared" si="17"/>
        <v>82142.857142857145</v>
      </c>
      <c r="F11" s="17"/>
      <c r="G11" s="29">
        <f>IF(SUM(F$4:F11)&gt;G$1,0,F11*(G$2/G$1))</f>
        <v>0</v>
      </c>
      <c r="H11" s="17"/>
      <c r="I11" s="29">
        <f>IF(SUM(H$4:H11)&gt;I$1,0,H11*(I$2/I$1))</f>
        <v>0</v>
      </c>
      <c r="J11" s="22">
        <v>0.83333333333333337</v>
      </c>
      <c r="K11" s="4">
        <v>0.16666666666666666</v>
      </c>
      <c r="L11" s="5">
        <f t="shared" si="0"/>
        <v>7.9999999999999982</v>
      </c>
      <c r="M11" s="6">
        <f t="shared" si="1"/>
        <v>351515.15151515143</v>
      </c>
      <c r="N11" s="3">
        <v>0.83333333333333337</v>
      </c>
      <c r="O11" s="4">
        <v>1.0208333333333333</v>
      </c>
      <c r="P11" s="5">
        <f t="shared" si="18"/>
        <v>4.4999999999999973</v>
      </c>
      <c r="Q11" s="6">
        <f t="shared" si="2"/>
        <v>224999.99999999985</v>
      </c>
      <c r="R11" s="3">
        <v>0.83333333333333337</v>
      </c>
      <c r="S11" s="4">
        <v>6.25E-2</v>
      </c>
      <c r="T11" s="5">
        <f t="shared" si="19"/>
        <v>5.4999999999999991</v>
      </c>
      <c r="U11" s="6">
        <f t="shared" si="3"/>
        <v>203499.99999999997</v>
      </c>
      <c r="V11" s="3"/>
      <c r="W11" s="4"/>
      <c r="X11" s="5" t="str">
        <f t="shared" si="20"/>
        <v>休</v>
      </c>
      <c r="Y11" s="6" t="str">
        <f t="shared" si="4"/>
        <v/>
      </c>
      <c r="Z11" s="3"/>
      <c r="AA11" s="4"/>
      <c r="AB11" s="5" t="str">
        <f t="shared" si="21"/>
        <v>休</v>
      </c>
      <c r="AC11" s="6" t="str">
        <f t="shared" si="5"/>
        <v/>
      </c>
      <c r="AD11" s="3">
        <v>0.83333333333333337</v>
      </c>
      <c r="AE11" s="4">
        <v>0.10416666666666667</v>
      </c>
      <c r="AF11" s="5">
        <f t="shared" si="22"/>
        <v>6.4999999999999982</v>
      </c>
      <c r="AG11" s="6">
        <f t="shared" si="6"/>
        <v>292499.99999999994</v>
      </c>
      <c r="AH11" s="3"/>
      <c r="AI11" s="4"/>
      <c r="AJ11" s="5" t="str">
        <f t="shared" si="23"/>
        <v>休</v>
      </c>
      <c r="AK11" s="6" t="str">
        <f t="shared" si="7"/>
        <v/>
      </c>
      <c r="AL11" s="3"/>
      <c r="AM11" s="4"/>
      <c r="AN11" s="5" t="str">
        <f t="shared" si="24"/>
        <v>休</v>
      </c>
      <c r="AO11" s="6" t="str">
        <f t="shared" si="8"/>
        <v/>
      </c>
      <c r="AP11" s="3">
        <v>0.8125</v>
      </c>
      <c r="AQ11" s="4">
        <v>0.9375</v>
      </c>
      <c r="AR11" s="5">
        <f t="shared" si="25"/>
        <v>3</v>
      </c>
      <c r="AS11" s="6">
        <f t="shared" si="9"/>
        <v>90000</v>
      </c>
      <c r="AT11" s="3"/>
      <c r="AU11" s="4"/>
      <c r="AV11" s="5" t="str">
        <f t="shared" si="26"/>
        <v>休</v>
      </c>
      <c r="AW11" s="6" t="str">
        <f t="shared" si="10"/>
        <v/>
      </c>
      <c r="AX11" s="3"/>
      <c r="AY11" s="4"/>
      <c r="AZ11" s="5" t="str">
        <f t="shared" si="27"/>
        <v>休</v>
      </c>
      <c r="BA11" s="6" t="str">
        <f t="shared" si="11"/>
        <v/>
      </c>
      <c r="BB11" s="3"/>
      <c r="BC11" s="4"/>
      <c r="BD11" s="5" t="str">
        <f t="shared" si="28"/>
        <v>休</v>
      </c>
      <c r="BE11" s="6" t="str">
        <f t="shared" si="12"/>
        <v/>
      </c>
      <c r="BF11" s="3"/>
      <c r="BG11" s="4"/>
      <c r="BH11" s="5" t="str">
        <f t="shared" si="29"/>
        <v>休</v>
      </c>
      <c r="BI11" s="6" t="str">
        <f t="shared" si="13"/>
        <v/>
      </c>
      <c r="BJ11" s="3"/>
      <c r="BK11" s="4"/>
      <c r="BL11" s="5" t="str">
        <f t="shared" si="30"/>
        <v>休</v>
      </c>
      <c r="BM11" s="6" t="str">
        <f t="shared" si="14"/>
        <v/>
      </c>
      <c r="BN11" s="3"/>
      <c r="BO11" s="4"/>
      <c r="BP11" s="5" t="str">
        <f t="shared" si="31"/>
        <v>休</v>
      </c>
      <c r="BQ11" s="6" t="str">
        <f t="shared" si="15"/>
        <v/>
      </c>
      <c r="BR11" s="3"/>
      <c r="BS11" s="4"/>
      <c r="BT11" s="5" t="str">
        <f t="shared" si="32"/>
        <v>休</v>
      </c>
      <c r="BU11" s="6" t="str">
        <f t="shared" si="16"/>
        <v/>
      </c>
      <c r="BW11" s="16">
        <f t="shared" si="33"/>
        <v>1307191.4372294368</v>
      </c>
      <c r="BX11" s="16">
        <f t="shared" si="34"/>
        <v>5852639.8225108217</v>
      </c>
      <c r="BY11" s="12"/>
    </row>
    <row r="12" spans="1:77">
      <c r="A12" s="1">
        <f t="shared" si="35"/>
        <v>44966</v>
      </c>
      <c r="B12" s="15">
        <v>1</v>
      </c>
      <c r="C12" s="16">
        <f t="shared" si="17"/>
        <v>107142.85714285714</v>
      </c>
      <c r="D12" s="17">
        <v>1</v>
      </c>
      <c r="E12" s="16">
        <f t="shared" si="17"/>
        <v>82142.857142857145</v>
      </c>
      <c r="F12" s="17"/>
      <c r="G12" s="29">
        <f>IF(SUM(F$4:F12)&gt;G$1,0,F12*(G$2/G$1))</f>
        <v>0</v>
      </c>
      <c r="H12" s="17"/>
      <c r="I12" s="29">
        <f>IF(SUM(H$4:H12)&gt;I$1,0,H12*(I$2/I$1))</f>
        <v>0</v>
      </c>
      <c r="J12" s="22">
        <v>0.83333333333333337</v>
      </c>
      <c r="K12" s="4">
        <v>8.3333333333333329E-2</v>
      </c>
      <c r="L12" s="5">
        <f t="shared" si="0"/>
        <v>6</v>
      </c>
      <c r="M12" s="6">
        <f t="shared" si="1"/>
        <v>263636.36363636365</v>
      </c>
      <c r="N12" s="3">
        <v>0.83333333333333337</v>
      </c>
      <c r="O12" s="4">
        <v>4.1666666666666664E-2</v>
      </c>
      <c r="P12" s="5">
        <f t="shared" si="18"/>
        <v>4.9999999999999982</v>
      </c>
      <c r="Q12" s="6">
        <f t="shared" si="2"/>
        <v>249999.99999999991</v>
      </c>
      <c r="R12" s="3">
        <v>0.83333333333333337</v>
      </c>
      <c r="S12" s="4">
        <v>6.25E-2</v>
      </c>
      <c r="T12" s="5">
        <f t="shared" si="19"/>
        <v>5.4999999999999991</v>
      </c>
      <c r="U12" s="6">
        <f t="shared" si="3"/>
        <v>203499.99999999997</v>
      </c>
      <c r="V12" s="3">
        <v>0.83333333333333337</v>
      </c>
      <c r="W12" s="4">
        <v>4.1666666666666664E-2</v>
      </c>
      <c r="X12" s="5">
        <f t="shared" si="20"/>
        <v>4.9999999999999982</v>
      </c>
      <c r="Y12" s="6">
        <f t="shared" si="4"/>
        <v>164999.99999999994</v>
      </c>
      <c r="Z12" s="3">
        <v>0.83333333333333337</v>
      </c>
      <c r="AA12" s="4">
        <v>1.0208333333333333</v>
      </c>
      <c r="AB12" s="5">
        <f t="shared" si="21"/>
        <v>4.4999999999999973</v>
      </c>
      <c r="AC12" s="6">
        <f t="shared" si="5"/>
        <v>202499.99999999988</v>
      </c>
      <c r="AD12" s="3"/>
      <c r="AE12" s="4"/>
      <c r="AF12" s="5" t="str">
        <f t="shared" si="22"/>
        <v>休</v>
      </c>
      <c r="AG12" s="6" t="str">
        <f t="shared" si="6"/>
        <v/>
      </c>
      <c r="AH12" s="3"/>
      <c r="AI12" s="4"/>
      <c r="AJ12" s="5" t="str">
        <f t="shared" si="23"/>
        <v>休</v>
      </c>
      <c r="AK12" s="6" t="str">
        <f t="shared" si="7"/>
        <v/>
      </c>
      <c r="AL12" s="3"/>
      <c r="AM12" s="4"/>
      <c r="AN12" s="5" t="str">
        <f t="shared" si="24"/>
        <v>休</v>
      </c>
      <c r="AO12" s="6" t="str">
        <f t="shared" si="8"/>
        <v/>
      </c>
      <c r="AP12" s="3">
        <v>0.8125</v>
      </c>
      <c r="AQ12" s="4">
        <v>0.9375</v>
      </c>
      <c r="AR12" s="5">
        <f t="shared" si="25"/>
        <v>3</v>
      </c>
      <c r="AS12" s="6">
        <f t="shared" si="9"/>
        <v>90000</v>
      </c>
      <c r="AT12" s="3"/>
      <c r="AU12" s="4"/>
      <c r="AV12" s="5" t="str">
        <f t="shared" si="26"/>
        <v>休</v>
      </c>
      <c r="AW12" s="6" t="str">
        <f t="shared" si="10"/>
        <v/>
      </c>
      <c r="AX12" s="3"/>
      <c r="AY12" s="4"/>
      <c r="AZ12" s="5" t="str">
        <f t="shared" si="27"/>
        <v>休</v>
      </c>
      <c r="BA12" s="6" t="str">
        <f t="shared" si="11"/>
        <v/>
      </c>
      <c r="BB12" s="3"/>
      <c r="BC12" s="4"/>
      <c r="BD12" s="5" t="str">
        <f t="shared" si="28"/>
        <v>休</v>
      </c>
      <c r="BE12" s="6" t="str">
        <f t="shared" si="12"/>
        <v/>
      </c>
      <c r="BF12" s="3"/>
      <c r="BG12" s="4"/>
      <c r="BH12" s="5" t="str">
        <f t="shared" si="29"/>
        <v>休</v>
      </c>
      <c r="BI12" s="6" t="str">
        <f t="shared" si="13"/>
        <v/>
      </c>
      <c r="BJ12" s="3"/>
      <c r="BK12" s="4"/>
      <c r="BL12" s="5" t="str">
        <f t="shared" si="30"/>
        <v>休</v>
      </c>
      <c r="BM12" s="6" t="str">
        <f t="shared" si="14"/>
        <v/>
      </c>
      <c r="BN12" s="3"/>
      <c r="BO12" s="4"/>
      <c r="BP12" s="5" t="str">
        <f t="shared" si="31"/>
        <v>休</v>
      </c>
      <c r="BQ12" s="6" t="str">
        <f t="shared" si="15"/>
        <v/>
      </c>
      <c r="BR12" s="3"/>
      <c r="BS12" s="4"/>
      <c r="BT12" s="5" t="str">
        <f t="shared" si="32"/>
        <v>休</v>
      </c>
      <c r="BU12" s="6" t="str">
        <f t="shared" si="16"/>
        <v/>
      </c>
      <c r="BW12" s="16">
        <f t="shared" si="33"/>
        <v>1318912.6493506492</v>
      </c>
      <c r="BX12" s="16">
        <f t="shared" si="34"/>
        <v>7171552.4718614705</v>
      </c>
      <c r="BY12" s="12"/>
    </row>
    <row r="13" spans="1:77">
      <c r="A13" s="1">
        <f t="shared" si="35"/>
        <v>44967</v>
      </c>
      <c r="B13" s="15">
        <v>1</v>
      </c>
      <c r="C13" s="16">
        <f t="shared" si="17"/>
        <v>107142.85714285714</v>
      </c>
      <c r="D13" s="17">
        <v>1</v>
      </c>
      <c r="E13" s="16">
        <f t="shared" si="17"/>
        <v>82142.857142857145</v>
      </c>
      <c r="F13" s="17"/>
      <c r="G13" s="29">
        <f>IF(SUM(F$4:F13)&gt;G$1,0,F13*(G$2/G$1))</f>
        <v>0</v>
      </c>
      <c r="H13" s="17"/>
      <c r="I13" s="29">
        <f>IF(SUM(H$4:H13)&gt;I$1,0,H13*(I$2/I$1))</f>
        <v>0</v>
      </c>
      <c r="J13" s="22">
        <v>0.83333333333333337</v>
      </c>
      <c r="K13" s="4">
        <v>2.0833333333333332E-2</v>
      </c>
      <c r="L13" s="5">
        <f t="shared" si="0"/>
        <v>4.5</v>
      </c>
      <c r="M13" s="6">
        <f t="shared" si="1"/>
        <v>197727.27272727271</v>
      </c>
      <c r="N13" s="3">
        <v>0.83333333333333337</v>
      </c>
      <c r="O13" s="4">
        <v>1.0208333333333333</v>
      </c>
      <c r="P13" s="5">
        <f t="shared" si="18"/>
        <v>4.4999999999999973</v>
      </c>
      <c r="Q13" s="6">
        <f t="shared" si="2"/>
        <v>224999.99999999985</v>
      </c>
      <c r="R13" s="3"/>
      <c r="S13" s="4"/>
      <c r="T13" s="5" t="str">
        <f t="shared" si="19"/>
        <v>休</v>
      </c>
      <c r="U13" s="6" t="str">
        <f t="shared" si="3"/>
        <v/>
      </c>
      <c r="V13" s="3">
        <v>0.83333333333333337</v>
      </c>
      <c r="W13" s="4">
        <v>0</v>
      </c>
      <c r="X13" s="5">
        <f t="shared" si="20"/>
        <v>3.9999999999999991</v>
      </c>
      <c r="Y13" s="6">
        <f t="shared" si="4"/>
        <v>131999.99999999997</v>
      </c>
      <c r="Z13" s="3"/>
      <c r="AA13" s="4"/>
      <c r="AB13" s="5" t="str">
        <f t="shared" si="21"/>
        <v>休</v>
      </c>
      <c r="AC13" s="6" t="str">
        <f t="shared" si="5"/>
        <v/>
      </c>
      <c r="AD13" s="3">
        <v>0.83333333333333337</v>
      </c>
      <c r="AE13" s="4">
        <v>2.0833333333333332E-2</v>
      </c>
      <c r="AF13" s="5">
        <f t="shared" si="22"/>
        <v>4.5</v>
      </c>
      <c r="AG13" s="6">
        <f t="shared" si="6"/>
        <v>202500</v>
      </c>
      <c r="AH13" s="3"/>
      <c r="AI13" s="4"/>
      <c r="AJ13" s="5" t="str">
        <f t="shared" si="23"/>
        <v>休</v>
      </c>
      <c r="AK13" s="6" t="str">
        <f t="shared" si="7"/>
        <v/>
      </c>
      <c r="AL13" s="3"/>
      <c r="AM13" s="4"/>
      <c r="AN13" s="5" t="str">
        <f t="shared" si="24"/>
        <v>休</v>
      </c>
      <c r="AO13" s="6" t="str">
        <f t="shared" si="8"/>
        <v/>
      </c>
      <c r="AP13" s="3">
        <v>0.8125</v>
      </c>
      <c r="AQ13" s="4">
        <v>0.9375</v>
      </c>
      <c r="AR13" s="5">
        <f t="shared" si="25"/>
        <v>3</v>
      </c>
      <c r="AS13" s="6">
        <f t="shared" si="9"/>
        <v>90000</v>
      </c>
      <c r="AT13" s="3"/>
      <c r="AU13" s="4"/>
      <c r="AV13" s="5" t="str">
        <f t="shared" si="26"/>
        <v>休</v>
      </c>
      <c r="AW13" s="6" t="str">
        <f t="shared" si="10"/>
        <v/>
      </c>
      <c r="AX13" s="3"/>
      <c r="AY13" s="4"/>
      <c r="AZ13" s="5" t="str">
        <f t="shared" si="27"/>
        <v>休</v>
      </c>
      <c r="BA13" s="6" t="str">
        <f t="shared" si="11"/>
        <v/>
      </c>
      <c r="BB13" s="3"/>
      <c r="BC13" s="4"/>
      <c r="BD13" s="5" t="str">
        <f t="shared" si="28"/>
        <v>休</v>
      </c>
      <c r="BE13" s="6" t="str">
        <f t="shared" si="12"/>
        <v/>
      </c>
      <c r="BF13" s="3"/>
      <c r="BG13" s="4"/>
      <c r="BH13" s="5" t="str">
        <f t="shared" si="29"/>
        <v>休</v>
      </c>
      <c r="BI13" s="6" t="str">
        <f t="shared" si="13"/>
        <v/>
      </c>
      <c r="BJ13" s="3"/>
      <c r="BK13" s="4"/>
      <c r="BL13" s="5" t="str">
        <f t="shared" si="30"/>
        <v>休</v>
      </c>
      <c r="BM13" s="6" t="str">
        <f t="shared" si="14"/>
        <v/>
      </c>
      <c r="BN13" s="3"/>
      <c r="BO13" s="4"/>
      <c r="BP13" s="5" t="str">
        <f t="shared" si="31"/>
        <v>休</v>
      </c>
      <c r="BQ13" s="6" t="str">
        <f t="shared" si="15"/>
        <v/>
      </c>
      <c r="BR13" s="3"/>
      <c r="BS13" s="4"/>
      <c r="BT13" s="5" t="str">
        <f t="shared" si="32"/>
        <v>休</v>
      </c>
      <c r="BU13" s="6" t="str">
        <f t="shared" si="16"/>
        <v/>
      </c>
      <c r="BW13" s="16">
        <f t="shared" si="33"/>
        <v>1002308.0584415583</v>
      </c>
      <c r="BX13" s="16">
        <f t="shared" si="34"/>
        <v>8173860.5303030284</v>
      </c>
      <c r="BY13" s="12"/>
    </row>
    <row r="14" spans="1:77">
      <c r="A14" s="1">
        <f t="shared" si="35"/>
        <v>44968</v>
      </c>
      <c r="B14" s="15">
        <v>1</v>
      </c>
      <c r="C14" s="16">
        <f t="shared" si="17"/>
        <v>107142.85714285714</v>
      </c>
      <c r="D14" s="17">
        <v>1</v>
      </c>
      <c r="E14" s="16">
        <f t="shared" si="17"/>
        <v>82142.857142857145</v>
      </c>
      <c r="F14" s="17"/>
      <c r="G14" s="29">
        <f>IF(SUM(F$4:F14)&gt;G$1,0,F14*(G$2/G$1))</f>
        <v>0</v>
      </c>
      <c r="H14" s="17"/>
      <c r="I14" s="29">
        <f>IF(SUM(H$4:H14)&gt;I$1,0,H14*(I$2/I$1))</f>
        <v>0</v>
      </c>
      <c r="J14" s="22"/>
      <c r="K14" s="4"/>
      <c r="L14" s="5" t="str">
        <f t="shared" si="0"/>
        <v>休</v>
      </c>
      <c r="M14" s="6" t="str">
        <f t="shared" si="1"/>
        <v/>
      </c>
      <c r="N14" s="3"/>
      <c r="O14" s="4"/>
      <c r="P14" s="5" t="str">
        <f t="shared" si="18"/>
        <v>休</v>
      </c>
      <c r="Q14" s="6" t="str">
        <f t="shared" si="2"/>
        <v/>
      </c>
      <c r="R14" s="3"/>
      <c r="S14" s="4"/>
      <c r="T14" s="5" t="str">
        <f t="shared" si="19"/>
        <v>休</v>
      </c>
      <c r="U14" s="6" t="str">
        <f t="shared" si="3"/>
        <v/>
      </c>
      <c r="V14" s="3"/>
      <c r="W14" s="4"/>
      <c r="X14" s="5" t="str">
        <f t="shared" si="20"/>
        <v>休</v>
      </c>
      <c r="Y14" s="6" t="str">
        <f t="shared" si="4"/>
        <v/>
      </c>
      <c r="Z14" s="3"/>
      <c r="AA14" s="4"/>
      <c r="AB14" s="5" t="str">
        <f t="shared" si="21"/>
        <v>休</v>
      </c>
      <c r="AC14" s="6" t="str">
        <f t="shared" si="5"/>
        <v/>
      </c>
      <c r="AD14" s="3"/>
      <c r="AE14" s="4"/>
      <c r="AF14" s="5" t="str">
        <f t="shared" si="22"/>
        <v>休</v>
      </c>
      <c r="AG14" s="6" t="str">
        <f t="shared" si="6"/>
        <v/>
      </c>
      <c r="AH14" s="3"/>
      <c r="AI14" s="4"/>
      <c r="AJ14" s="5" t="str">
        <f t="shared" si="23"/>
        <v>休</v>
      </c>
      <c r="AK14" s="6" t="str">
        <f t="shared" si="7"/>
        <v/>
      </c>
      <c r="AL14" s="3"/>
      <c r="AM14" s="4"/>
      <c r="AN14" s="5" t="str">
        <f t="shared" si="24"/>
        <v>休</v>
      </c>
      <c r="AO14" s="6" t="str">
        <f t="shared" si="8"/>
        <v/>
      </c>
      <c r="AP14" s="3"/>
      <c r="AQ14" s="4"/>
      <c r="AR14" s="5" t="str">
        <f t="shared" si="25"/>
        <v>休</v>
      </c>
      <c r="AS14" s="6" t="str">
        <f t="shared" si="9"/>
        <v/>
      </c>
      <c r="AT14" s="3"/>
      <c r="AU14" s="4"/>
      <c r="AV14" s="5" t="str">
        <f t="shared" si="26"/>
        <v>休</v>
      </c>
      <c r="AW14" s="6" t="str">
        <f t="shared" si="10"/>
        <v/>
      </c>
      <c r="AX14" s="3"/>
      <c r="AY14" s="4"/>
      <c r="AZ14" s="5" t="str">
        <f t="shared" si="27"/>
        <v>休</v>
      </c>
      <c r="BA14" s="6" t="str">
        <f t="shared" si="11"/>
        <v/>
      </c>
      <c r="BB14" s="3"/>
      <c r="BC14" s="4"/>
      <c r="BD14" s="5" t="str">
        <f t="shared" si="28"/>
        <v>休</v>
      </c>
      <c r="BE14" s="6" t="str">
        <f t="shared" si="12"/>
        <v/>
      </c>
      <c r="BF14" s="3"/>
      <c r="BG14" s="4"/>
      <c r="BH14" s="5" t="str">
        <f t="shared" si="29"/>
        <v>休</v>
      </c>
      <c r="BI14" s="6" t="str">
        <f t="shared" si="13"/>
        <v/>
      </c>
      <c r="BJ14" s="3"/>
      <c r="BK14" s="4"/>
      <c r="BL14" s="5" t="str">
        <f t="shared" si="30"/>
        <v>休</v>
      </c>
      <c r="BM14" s="6" t="str">
        <f t="shared" si="14"/>
        <v/>
      </c>
      <c r="BN14" s="3"/>
      <c r="BO14" s="4"/>
      <c r="BP14" s="5" t="str">
        <f t="shared" si="31"/>
        <v>休</v>
      </c>
      <c r="BQ14" s="6" t="str">
        <f t="shared" si="15"/>
        <v/>
      </c>
      <c r="BR14" s="3"/>
      <c r="BS14" s="4"/>
      <c r="BT14" s="5" t="str">
        <f t="shared" si="32"/>
        <v>休</v>
      </c>
      <c r="BU14" s="6" t="str">
        <f t="shared" si="16"/>
        <v/>
      </c>
      <c r="BW14" s="16">
        <f t="shared" si="33"/>
        <v>183039.28571428571</v>
      </c>
      <c r="BX14" s="16">
        <f t="shared" si="34"/>
        <v>8356899.8160173139</v>
      </c>
      <c r="BY14" s="12"/>
    </row>
    <row r="15" spans="1:77">
      <c r="A15" s="1">
        <f t="shared" si="35"/>
        <v>44969</v>
      </c>
      <c r="B15" s="15">
        <v>1</v>
      </c>
      <c r="C15" s="16">
        <f t="shared" si="17"/>
        <v>107142.85714285714</v>
      </c>
      <c r="D15" s="17">
        <v>1</v>
      </c>
      <c r="E15" s="16">
        <f t="shared" si="17"/>
        <v>82142.857142857145</v>
      </c>
      <c r="F15" s="17"/>
      <c r="G15" s="29">
        <f>IF(SUM(F$4:F15)&gt;G$1,0,F15*(G$2/G$1))</f>
        <v>0</v>
      </c>
      <c r="H15" s="17"/>
      <c r="I15" s="29">
        <f>IF(SUM(H$4:H15)&gt;I$1,0,H15*(I$2/I$1))</f>
        <v>0</v>
      </c>
      <c r="J15" s="22"/>
      <c r="K15" s="4"/>
      <c r="L15" s="5" t="str">
        <f t="shared" si="0"/>
        <v>休</v>
      </c>
      <c r="M15" s="6" t="str">
        <f t="shared" si="1"/>
        <v/>
      </c>
      <c r="N15" s="3"/>
      <c r="O15" s="4"/>
      <c r="P15" s="5" t="str">
        <f t="shared" si="18"/>
        <v>休</v>
      </c>
      <c r="Q15" s="6" t="str">
        <f t="shared" si="2"/>
        <v/>
      </c>
      <c r="R15" s="3"/>
      <c r="S15" s="4"/>
      <c r="T15" s="5" t="str">
        <f t="shared" si="19"/>
        <v>休</v>
      </c>
      <c r="U15" s="6" t="str">
        <f t="shared" si="3"/>
        <v/>
      </c>
      <c r="V15" s="3"/>
      <c r="W15" s="4"/>
      <c r="X15" s="5" t="str">
        <f t="shared" si="20"/>
        <v>休</v>
      </c>
      <c r="Y15" s="6" t="str">
        <f t="shared" si="4"/>
        <v/>
      </c>
      <c r="Z15" s="3"/>
      <c r="AA15" s="4"/>
      <c r="AB15" s="5" t="str">
        <f t="shared" si="21"/>
        <v>休</v>
      </c>
      <c r="AC15" s="6" t="str">
        <f t="shared" si="5"/>
        <v/>
      </c>
      <c r="AD15" s="3"/>
      <c r="AE15" s="4"/>
      <c r="AF15" s="5" t="str">
        <f t="shared" si="22"/>
        <v>休</v>
      </c>
      <c r="AG15" s="6" t="str">
        <f t="shared" si="6"/>
        <v/>
      </c>
      <c r="AH15" s="3"/>
      <c r="AI15" s="4"/>
      <c r="AJ15" s="5" t="str">
        <f t="shared" si="23"/>
        <v>休</v>
      </c>
      <c r="AK15" s="6" t="str">
        <f t="shared" si="7"/>
        <v/>
      </c>
      <c r="AL15" s="3"/>
      <c r="AM15" s="4"/>
      <c r="AN15" s="5" t="str">
        <f t="shared" si="24"/>
        <v>休</v>
      </c>
      <c r="AO15" s="6" t="str">
        <f t="shared" si="8"/>
        <v/>
      </c>
      <c r="AP15" s="3"/>
      <c r="AQ15" s="4"/>
      <c r="AR15" s="5" t="str">
        <f t="shared" si="25"/>
        <v>休</v>
      </c>
      <c r="AS15" s="6" t="str">
        <f t="shared" si="9"/>
        <v/>
      </c>
      <c r="AT15" s="3"/>
      <c r="AU15" s="4"/>
      <c r="AV15" s="5" t="str">
        <f t="shared" si="26"/>
        <v>休</v>
      </c>
      <c r="AW15" s="6" t="str">
        <f t="shared" si="10"/>
        <v/>
      </c>
      <c r="AX15" s="3"/>
      <c r="AY15" s="4"/>
      <c r="AZ15" s="5" t="str">
        <f t="shared" si="27"/>
        <v>休</v>
      </c>
      <c r="BA15" s="6" t="str">
        <f t="shared" si="11"/>
        <v/>
      </c>
      <c r="BB15" s="3"/>
      <c r="BC15" s="4"/>
      <c r="BD15" s="5" t="str">
        <f t="shared" si="28"/>
        <v>休</v>
      </c>
      <c r="BE15" s="6" t="str">
        <f t="shared" si="12"/>
        <v/>
      </c>
      <c r="BF15" s="3"/>
      <c r="BG15" s="4"/>
      <c r="BH15" s="5" t="str">
        <f t="shared" si="29"/>
        <v>休</v>
      </c>
      <c r="BI15" s="6" t="str">
        <f t="shared" si="13"/>
        <v/>
      </c>
      <c r="BJ15" s="3"/>
      <c r="BK15" s="4"/>
      <c r="BL15" s="5" t="str">
        <f t="shared" si="30"/>
        <v>休</v>
      </c>
      <c r="BM15" s="6" t="str">
        <f t="shared" si="14"/>
        <v/>
      </c>
      <c r="BN15" s="3"/>
      <c r="BO15" s="4"/>
      <c r="BP15" s="5" t="str">
        <f t="shared" si="31"/>
        <v>休</v>
      </c>
      <c r="BQ15" s="6" t="str">
        <f t="shared" si="15"/>
        <v/>
      </c>
      <c r="BR15" s="3"/>
      <c r="BS15" s="4"/>
      <c r="BT15" s="5" t="str">
        <f t="shared" si="32"/>
        <v>休</v>
      </c>
      <c r="BU15" s="6" t="str">
        <f t="shared" si="16"/>
        <v/>
      </c>
      <c r="BW15" s="16">
        <f t="shared" si="33"/>
        <v>183039.28571428571</v>
      </c>
      <c r="BX15" s="16">
        <f t="shared" si="34"/>
        <v>8539939.1017316002</v>
      </c>
      <c r="BY15" s="12"/>
    </row>
    <row r="16" spans="1:77">
      <c r="A16" s="1">
        <f t="shared" si="35"/>
        <v>44970</v>
      </c>
      <c r="B16" s="15">
        <v>1</v>
      </c>
      <c r="C16" s="16">
        <f t="shared" si="17"/>
        <v>107142.85714285714</v>
      </c>
      <c r="D16" s="17">
        <v>1</v>
      </c>
      <c r="E16" s="16">
        <f t="shared" si="17"/>
        <v>82142.857142857145</v>
      </c>
      <c r="F16" s="17"/>
      <c r="G16" s="29">
        <f>IF(SUM(F$4:F16)&gt;G$1,0,F16*(G$2/G$1))</f>
        <v>0</v>
      </c>
      <c r="H16" s="17"/>
      <c r="I16" s="29">
        <f>IF(SUM(H$4:H16)&gt;I$1,0,H16*(I$2/I$1))</f>
        <v>0</v>
      </c>
      <c r="J16" s="22">
        <v>0.83333333333333337</v>
      </c>
      <c r="K16" s="4">
        <v>0.10416666666666667</v>
      </c>
      <c r="L16" s="5">
        <f t="shared" si="0"/>
        <v>6.4999999999999982</v>
      </c>
      <c r="M16" s="6">
        <f t="shared" si="1"/>
        <v>285606.06060606049</v>
      </c>
      <c r="N16" s="3"/>
      <c r="O16" s="4"/>
      <c r="P16" s="5" t="str">
        <f t="shared" si="18"/>
        <v>休</v>
      </c>
      <c r="Q16" s="6" t="str">
        <f t="shared" si="2"/>
        <v/>
      </c>
      <c r="R16" s="3">
        <v>0.91666666666666663</v>
      </c>
      <c r="S16" s="4">
        <v>6.25E-2</v>
      </c>
      <c r="T16" s="5">
        <f t="shared" si="19"/>
        <v>3.5000000000000009</v>
      </c>
      <c r="U16" s="6">
        <f t="shared" si="3"/>
        <v>129500.00000000003</v>
      </c>
      <c r="V16" s="3">
        <v>0.83333333333333337</v>
      </c>
      <c r="W16" s="4">
        <v>6.25E-2</v>
      </c>
      <c r="X16" s="5">
        <f t="shared" si="20"/>
        <v>5.4999999999999991</v>
      </c>
      <c r="Y16" s="6">
        <f t="shared" si="4"/>
        <v>181499.99999999997</v>
      </c>
      <c r="Z16" s="3">
        <v>0.83333333333333337</v>
      </c>
      <c r="AA16" s="4">
        <v>0</v>
      </c>
      <c r="AB16" s="5">
        <f t="shared" si="21"/>
        <v>3.9999999999999991</v>
      </c>
      <c r="AC16" s="6">
        <f t="shared" si="5"/>
        <v>179999.99999999997</v>
      </c>
      <c r="AD16" s="3"/>
      <c r="AE16" s="4"/>
      <c r="AF16" s="5" t="str">
        <f t="shared" si="22"/>
        <v>休</v>
      </c>
      <c r="AG16" s="6" t="str">
        <f t="shared" si="6"/>
        <v/>
      </c>
      <c r="AH16" s="3"/>
      <c r="AI16" s="4"/>
      <c r="AJ16" s="5" t="str">
        <f t="shared" si="23"/>
        <v>休</v>
      </c>
      <c r="AK16" s="6" t="str">
        <f t="shared" si="7"/>
        <v/>
      </c>
      <c r="AL16" s="3"/>
      <c r="AM16" s="4"/>
      <c r="AN16" s="5" t="str">
        <f t="shared" si="24"/>
        <v>休</v>
      </c>
      <c r="AO16" s="6" t="str">
        <f t="shared" si="8"/>
        <v/>
      </c>
      <c r="AP16" s="3">
        <v>0.8125</v>
      </c>
      <c r="AQ16" s="4">
        <v>0.9375</v>
      </c>
      <c r="AR16" s="5">
        <f t="shared" si="25"/>
        <v>3</v>
      </c>
      <c r="AS16" s="6">
        <f t="shared" si="9"/>
        <v>90000</v>
      </c>
      <c r="AT16" s="3"/>
      <c r="AU16" s="4"/>
      <c r="AV16" s="5" t="str">
        <f t="shared" si="26"/>
        <v>休</v>
      </c>
      <c r="AW16" s="6" t="str">
        <f t="shared" si="10"/>
        <v/>
      </c>
      <c r="AX16" s="3"/>
      <c r="AY16" s="4"/>
      <c r="AZ16" s="5" t="str">
        <f t="shared" si="27"/>
        <v>休</v>
      </c>
      <c r="BA16" s="6" t="str">
        <f t="shared" si="11"/>
        <v/>
      </c>
      <c r="BB16" s="3"/>
      <c r="BC16" s="4"/>
      <c r="BD16" s="5" t="str">
        <f t="shared" si="28"/>
        <v>休</v>
      </c>
      <c r="BE16" s="6" t="str">
        <f t="shared" si="12"/>
        <v/>
      </c>
      <c r="BF16" s="3"/>
      <c r="BG16" s="4"/>
      <c r="BH16" s="5" t="str">
        <f t="shared" si="29"/>
        <v>休</v>
      </c>
      <c r="BI16" s="6" t="str">
        <f t="shared" si="13"/>
        <v/>
      </c>
      <c r="BJ16" s="3"/>
      <c r="BK16" s="4"/>
      <c r="BL16" s="5" t="str">
        <f t="shared" si="30"/>
        <v>休</v>
      </c>
      <c r="BM16" s="6" t="str">
        <f t="shared" si="14"/>
        <v/>
      </c>
      <c r="BN16" s="3"/>
      <c r="BO16" s="4"/>
      <c r="BP16" s="5" t="str">
        <f t="shared" si="31"/>
        <v>休</v>
      </c>
      <c r="BQ16" s="6" t="str">
        <f t="shared" si="15"/>
        <v/>
      </c>
      <c r="BR16" s="3"/>
      <c r="BS16" s="4"/>
      <c r="BT16" s="5" t="str">
        <f t="shared" si="32"/>
        <v>休</v>
      </c>
      <c r="BU16" s="6" t="str">
        <f t="shared" si="16"/>
        <v/>
      </c>
      <c r="BW16" s="16">
        <f t="shared" si="33"/>
        <v>1021047.346320346</v>
      </c>
      <c r="BX16" s="16">
        <f t="shared" si="34"/>
        <v>9560986.4480519462</v>
      </c>
      <c r="BY16" s="12"/>
    </row>
    <row r="17" spans="1:77">
      <c r="A17" s="1">
        <f t="shared" si="35"/>
        <v>44971</v>
      </c>
      <c r="B17" s="15">
        <v>1</v>
      </c>
      <c r="C17" s="16">
        <f t="shared" si="17"/>
        <v>107142.85714285714</v>
      </c>
      <c r="D17" s="15">
        <v>1</v>
      </c>
      <c r="E17" s="16">
        <f t="shared" si="17"/>
        <v>82142.857142857145</v>
      </c>
      <c r="F17" s="17"/>
      <c r="G17" s="29">
        <f>IF(SUM(F$4:F17)&gt;G$1,0,F17*(G$2/G$1))</f>
        <v>0</v>
      </c>
      <c r="H17" s="17"/>
      <c r="I17" s="29">
        <f>IF(SUM(H$4:H17)&gt;I$1,0,H17*(I$2/I$1))</f>
        <v>0</v>
      </c>
      <c r="J17" s="22">
        <v>0.83333333333333337</v>
      </c>
      <c r="K17" s="4">
        <v>4.1666666666666664E-2</v>
      </c>
      <c r="L17" s="5">
        <f t="shared" si="0"/>
        <v>4.9999999999999982</v>
      </c>
      <c r="M17" s="6">
        <f t="shared" si="1"/>
        <v>219696.96969696961</v>
      </c>
      <c r="N17" s="3"/>
      <c r="O17" s="4"/>
      <c r="P17" s="5" t="str">
        <f t="shared" si="18"/>
        <v>休</v>
      </c>
      <c r="Q17" s="6" t="str">
        <f t="shared" si="2"/>
        <v/>
      </c>
      <c r="R17" s="3">
        <v>0.85416666666666663</v>
      </c>
      <c r="S17" s="4">
        <v>1.0208333333333333</v>
      </c>
      <c r="T17" s="5">
        <f t="shared" si="19"/>
        <v>3.9999999999999991</v>
      </c>
      <c r="U17" s="6">
        <f t="shared" si="3"/>
        <v>147999.99999999997</v>
      </c>
      <c r="V17" s="3"/>
      <c r="W17" s="4"/>
      <c r="X17" s="5" t="str">
        <f t="shared" si="20"/>
        <v>休</v>
      </c>
      <c r="Y17" s="6" t="str">
        <f t="shared" si="4"/>
        <v/>
      </c>
      <c r="Z17" s="3"/>
      <c r="AA17" s="4"/>
      <c r="AB17" s="5" t="str">
        <f t="shared" si="21"/>
        <v>休</v>
      </c>
      <c r="AC17" s="6" t="str">
        <f t="shared" si="5"/>
        <v/>
      </c>
      <c r="AD17" s="3">
        <v>0.83333333333333337</v>
      </c>
      <c r="AE17" s="4">
        <v>4.1666666666666664E-2</v>
      </c>
      <c r="AF17" s="5">
        <f t="shared" si="22"/>
        <v>4.9999999999999982</v>
      </c>
      <c r="AG17" s="6">
        <f t="shared" si="6"/>
        <v>224999.99999999991</v>
      </c>
      <c r="AH17" s="3">
        <v>0.85416666666666663</v>
      </c>
      <c r="AI17" s="4">
        <v>2.0833333333333332E-2</v>
      </c>
      <c r="AJ17" s="5">
        <f t="shared" si="23"/>
        <v>4.0000000000000018</v>
      </c>
      <c r="AK17" s="6">
        <f t="shared" si="7"/>
        <v>200000.00000000009</v>
      </c>
      <c r="AL17" s="3"/>
      <c r="AM17" s="4"/>
      <c r="AN17" s="5" t="str">
        <f t="shared" si="24"/>
        <v>休</v>
      </c>
      <c r="AO17" s="6" t="str">
        <f t="shared" si="8"/>
        <v/>
      </c>
      <c r="AP17" s="3">
        <v>0.8125</v>
      </c>
      <c r="AQ17" s="4">
        <v>0.9375</v>
      </c>
      <c r="AR17" s="5">
        <f t="shared" si="25"/>
        <v>3</v>
      </c>
      <c r="AS17" s="6">
        <f t="shared" si="9"/>
        <v>90000</v>
      </c>
      <c r="AT17" s="3"/>
      <c r="AU17" s="4"/>
      <c r="AV17" s="5" t="str">
        <f t="shared" si="26"/>
        <v>休</v>
      </c>
      <c r="AW17" s="6" t="str">
        <f t="shared" si="10"/>
        <v/>
      </c>
      <c r="AX17" s="3"/>
      <c r="AY17" s="4"/>
      <c r="AZ17" s="5" t="str">
        <f t="shared" si="27"/>
        <v>休</v>
      </c>
      <c r="BA17" s="6" t="str">
        <f t="shared" si="11"/>
        <v/>
      </c>
      <c r="BB17" s="3"/>
      <c r="BC17" s="4"/>
      <c r="BD17" s="5" t="str">
        <f t="shared" si="28"/>
        <v>休</v>
      </c>
      <c r="BE17" s="6" t="str">
        <f t="shared" si="12"/>
        <v/>
      </c>
      <c r="BF17" s="3"/>
      <c r="BG17" s="4"/>
      <c r="BH17" s="5" t="str">
        <f t="shared" si="29"/>
        <v>休</v>
      </c>
      <c r="BI17" s="6" t="str">
        <f t="shared" si="13"/>
        <v/>
      </c>
      <c r="BJ17" s="3"/>
      <c r="BK17" s="4"/>
      <c r="BL17" s="5" t="str">
        <f t="shared" si="30"/>
        <v>休</v>
      </c>
      <c r="BM17" s="6" t="str">
        <f t="shared" si="14"/>
        <v/>
      </c>
      <c r="BN17" s="3"/>
      <c r="BO17" s="4"/>
      <c r="BP17" s="5" t="str">
        <f t="shared" si="31"/>
        <v>休</v>
      </c>
      <c r="BQ17" s="6" t="str">
        <f t="shared" si="15"/>
        <v/>
      </c>
      <c r="BR17" s="3"/>
      <c r="BS17" s="4"/>
      <c r="BT17" s="5" t="str">
        <f t="shared" si="32"/>
        <v>休</v>
      </c>
      <c r="BU17" s="6" t="str">
        <f t="shared" si="16"/>
        <v/>
      </c>
      <c r="BW17" s="16">
        <f t="shared" si="33"/>
        <v>1036607.2554112552</v>
      </c>
      <c r="BX17" s="16">
        <f t="shared" si="34"/>
        <v>10597593.7034632</v>
      </c>
      <c r="BY17" s="12"/>
    </row>
    <row r="18" spans="1:77">
      <c r="A18" s="1">
        <f t="shared" si="35"/>
        <v>44972</v>
      </c>
      <c r="B18" s="15">
        <v>1</v>
      </c>
      <c r="C18" s="16">
        <f t="shared" si="17"/>
        <v>107142.85714285714</v>
      </c>
      <c r="D18" s="15">
        <v>1</v>
      </c>
      <c r="E18" s="16">
        <f t="shared" si="17"/>
        <v>82142.857142857145</v>
      </c>
      <c r="F18" s="17"/>
      <c r="G18" s="29">
        <f>IF(SUM(F$4:F18)&gt;G$1,0,F18*(G$2/G$1))</f>
        <v>0</v>
      </c>
      <c r="H18" s="17"/>
      <c r="I18" s="29">
        <f>IF(SUM(H$4:H18)&gt;I$1,0,H18*(I$2/I$1))</f>
        <v>0</v>
      </c>
      <c r="J18" s="22">
        <v>0.83333333333333337</v>
      </c>
      <c r="K18" s="4">
        <v>4.1666666666666664E-2</v>
      </c>
      <c r="L18" s="5">
        <f t="shared" si="0"/>
        <v>4.9999999999999982</v>
      </c>
      <c r="M18" s="6">
        <f t="shared" si="1"/>
        <v>219696.96969696961</v>
      </c>
      <c r="N18" s="3"/>
      <c r="O18" s="4"/>
      <c r="P18" s="5" t="str">
        <f t="shared" si="18"/>
        <v>休</v>
      </c>
      <c r="Q18" s="6" t="str">
        <f t="shared" si="2"/>
        <v/>
      </c>
      <c r="R18" s="3">
        <v>0.85416666666666663</v>
      </c>
      <c r="S18" s="4">
        <v>0</v>
      </c>
      <c r="T18" s="5">
        <f t="shared" si="19"/>
        <v>3.5000000000000009</v>
      </c>
      <c r="U18" s="6">
        <f t="shared" si="3"/>
        <v>129500.00000000003</v>
      </c>
      <c r="V18" s="3">
        <v>0.83333333333333337</v>
      </c>
      <c r="W18" s="4">
        <v>0</v>
      </c>
      <c r="X18" s="5">
        <f t="shared" si="20"/>
        <v>3.9999999999999991</v>
      </c>
      <c r="Y18" s="6">
        <f t="shared" si="4"/>
        <v>131999.99999999997</v>
      </c>
      <c r="Z18" s="3">
        <v>0.83333333333333337</v>
      </c>
      <c r="AA18" s="4">
        <v>0</v>
      </c>
      <c r="AB18" s="5">
        <f t="shared" si="21"/>
        <v>3.9999999999999991</v>
      </c>
      <c r="AC18" s="6">
        <f t="shared" si="5"/>
        <v>179999.99999999997</v>
      </c>
      <c r="AD18" s="3"/>
      <c r="AE18" s="4"/>
      <c r="AF18" s="5" t="str">
        <f t="shared" si="22"/>
        <v>休</v>
      </c>
      <c r="AG18" s="6" t="str">
        <f t="shared" si="6"/>
        <v/>
      </c>
      <c r="AH18" s="3"/>
      <c r="AI18" s="4"/>
      <c r="AJ18" s="5" t="str">
        <f t="shared" si="23"/>
        <v>休</v>
      </c>
      <c r="AK18" s="6" t="str">
        <f t="shared" si="7"/>
        <v/>
      </c>
      <c r="AL18" s="3"/>
      <c r="AM18" s="4"/>
      <c r="AN18" s="5" t="str">
        <f t="shared" si="24"/>
        <v>休</v>
      </c>
      <c r="AO18" s="6" t="str">
        <f t="shared" si="8"/>
        <v/>
      </c>
      <c r="AP18" s="3">
        <v>0.8125</v>
      </c>
      <c r="AQ18" s="4">
        <v>0.9375</v>
      </c>
      <c r="AR18" s="5">
        <f t="shared" si="25"/>
        <v>3</v>
      </c>
      <c r="AS18" s="6">
        <f t="shared" si="9"/>
        <v>90000</v>
      </c>
      <c r="AT18" s="3"/>
      <c r="AU18" s="4"/>
      <c r="AV18" s="5" t="str">
        <f t="shared" si="26"/>
        <v>休</v>
      </c>
      <c r="AW18" s="6" t="str">
        <f t="shared" si="10"/>
        <v/>
      </c>
      <c r="AX18" s="3"/>
      <c r="AY18" s="4"/>
      <c r="AZ18" s="5" t="str">
        <f t="shared" si="27"/>
        <v>休</v>
      </c>
      <c r="BA18" s="6" t="str">
        <f t="shared" si="11"/>
        <v/>
      </c>
      <c r="BB18" s="3"/>
      <c r="BC18" s="4"/>
      <c r="BD18" s="5" t="str">
        <f t="shared" si="28"/>
        <v>休</v>
      </c>
      <c r="BE18" s="6" t="str">
        <f t="shared" si="12"/>
        <v/>
      </c>
      <c r="BF18" s="3"/>
      <c r="BG18" s="4"/>
      <c r="BH18" s="5" t="str">
        <f t="shared" si="29"/>
        <v>休</v>
      </c>
      <c r="BI18" s="6" t="str">
        <f t="shared" si="13"/>
        <v/>
      </c>
      <c r="BJ18" s="3"/>
      <c r="BK18" s="4"/>
      <c r="BL18" s="5" t="str">
        <f t="shared" si="30"/>
        <v>休</v>
      </c>
      <c r="BM18" s="6" t="str">
        <f t="shared" si="14"/>
        <v/>
      </c>
      <c r="BN18" s="3"/>
      <c r="BO18" s="4"/>
      <c r="BP18" s="5" t="str">
        <f t="shared" si="31"/>
        <v>休</v>
      </c>
      <c r="BQ18" s="6" t="str">
        <f t="shared" si="15"/>
        <v/>
      </c>
      <c r="BR18" s="3"/>
      <c r="BS18" s="4"/>
      <c r="BT18" s="5" t="str">
        <f t="shared" si="32"/>
        <v>休</v>
      </c>
      <c r="BU18" s="6" t="str">
        <f t="shared" si="16"/>
        <v/>
      </c>
      <c r="BW18" s="16">
        <f t="shared" si="33"/>
        <v>909446.75541125529</v>
      </c>
      <c r="BX18" s="16">
        <f t="shared" si="34"/>
        <v>11507040.458874457</v>
      </c>
      <c r="BY18" s="12"/>
    </row>
    <row r="19" spans="1:77">
      <c r="A19" s="1">
        <f t="shared" si="35"/>
        <v>44973</v>
      </c>
      <c r="B19" s="15">
        <v>1</v>
      </c>
      <c r="C19" s="16">
        <f t="shared" si="17"/>
        <v>107142.85714285714</v>
      </c>
      <c r="D19" s="15">
        <v>1</v>
      </c>
      <c r="E19" s="16">
        <f t="shared" si="17"/>
        <v>82142.857142857145</v>
      </c>
      <c r="F19" s="17"/>
      <c r="G19" s="29">
        <f>IF(SUM(F$4:F19)&gt;G$1,0,F19*(G$2/G$1))</f>
        <v>0</v>
      </c>
      <c r="H19" s="17"/>
      <c r="I19" s="29">
        <f>IF(SUM(H$4:H19)&gt;I$1,0,H19*(I$2/I$1))</f>
        <v>0</v>
      </c>
      <c r="J19" s="22">
        <v>0.83333333333333337</v>
      </c>
      <c r="K19" s="4">
        <v>4.1666666666666664E-2</v>
      </c>
      <c r="L19" s="5">
        <f t="shared" si="0"/>
        <v>4.9999999999999982</v>
      </c>
      <c r="M19" s="6">
        <f t="shared" si="1"/>
        <v>219696.96969696961</v>
      </c>
      <c r="N19" s="3"/>
      <c r="O19" s="4"/>
      <c r="P19" s="5" t="str">
        <f t="shared" si="18"/>
        <v>休</v>
      </c>
      <c r="Q19" s="6" t="str">
        <f t="shared" si="2"/>
        <v/>
      </c>
      <c r="R19" s="3"/>
      <c r="S19" s="4"/>
      <c r="T19" s="5" t="str">
        <f t="shared" si="19"/>
        <v>休</v>
      </c>
      <c r="U19" s="6" t="str">
        <f t="shared" si="3"/>
        <v/>
      </c>
      <c r="V19" s="3">
        <v>0.83333333333333337</v>
      </c>
      <c r="W19" s="4">
        <v>0</v>
      </c>
      <c r="X19" s="5">
        <f t="shared" si="20"/>
        <v>3.9999999999999991</v>
      </c>
      <c r="Y19" s="6">
        <f t="shared" si="4"/>
        <v>131999.99999999997</v>
      </c>
      <c r="Z19" s="3"/>
      <c r="AA19" s="4"/>
      <c r="AB19" s="5" t="str">
        <f t="shared" si="21"/>
        <v>休</v>
      </c>
      <c r="AC19" s="6" t="str">
        <f t="shared" si="5"/>
        <v/>
      </c>
      <c r="AD19" s="3">
        <v>0.83333333333333337</v>
      </c>
      <c r="AE19" s="4">
        <v>0.97916666666666663</v>
      </c>
      <c r="AF19" s="5">
        <f t="shared" si="22"/>
        <v>3.4999999999999982</v>
      </c>
      <c r="AG19" s="6">
        <f t="shared" si="6"/>
        <v>157499.99999999991</v>
      </c>
      <c r="AH19" s="3">
        <v>0.875</v>
      </c>
      <c r="AI19" s="4">
        <v>4.1666666666666664E-2</v>
      </c>
      <c r="AJ19" s="5">
        <f t="shared" si="23"/>
        <v>3.9999999999999991</v>
      </c>
      <c r="AK19" s="6">
        <f t="shared" si="7"/>
        <v>199999.99999999994</v>
      </c>
      <c r="AL19" s="3"/>
      <c r="AM19" s="4"/>
      <c r="AN19" s="5" t="str">
        <f t="shared" si="24"/>
        <v>休</v>
      </c>
      <c r="AO19" s="6" t="str">
        <f t="shared" si="8"/>
        <v/>
      </c>
      <c r="AP19" s="3">
        <v>0.8125</v>
      </c>
      <c r="AQ19" s="4">
        <v>0.9375</v>
      </c>
      <c r="AR19" s="5">
        <f t="shared" si="25"/>
        <v>3</v>
      </c>
      <c r="AS19" s="6">
        <f t="shared" si="9"/>
        <v>90000</v>
      </c>
      <c r="AT19" s="3"/>
      <c r="AU19" s="4"/>
      <c r="AV19" s="5" t="str">
        <f t="shared" si="26"/>
        <v>休</v>
      </c>
      <c r="AW19" s="6" t="str">
        <f t="shared" si="10"/>
        <v/>
      </c>
      <c r="AX19" s="3"/>
      <c r="AY19" s="4"/>
      <c r="AZ19" s="5" t="str">
        <f t="shared" si="27"/>
        <v>休</v>
      </c>
      <c r="BA19" s="6" t="str">
        <f t="shared" si="11"/>
        <v/>
      </c>
      <c r="BB19" s="3"/>
      <c r="BC19" s="4"/>
      <c r="BD19" s="5" t="str">
        <f t="shared" si="28"/>
        <v>休</v>
      </c>
      <c r="BE19" s="6" t="str">
        <f t="shared" si="12"/>
        <v/>
      </c>
      <c r="BF19" s="3"/>
      <c r="BG19" s="4"/>
      <c r="BH19" s="5" t="str">
        <f t="shared" si="29"/>
        <v>休</v>
      </c>
      <c r="BI19" s="6" t="str">
        <f t="shared" si="13"/>
        <v/>
      </c>
      <c r="BJ19" s="3"/>
      <c r="BK19" s="4"/>
      <c r="BL19" s="5" t="str">
        <f t="shared" si="30"/>
        <v>休</v>
      </c>
      <c r="BM19" s="6" t="str">
        <f t="shared" si="14"/>
        <v/>
      </c>
      <c r="BN19" s="3"/>
      <c r="BO19" s="4"/>
      <c r="BP19" s="5" t="str">
        <f t="shared" si="31"/>
        <v>休</v>
      </c>
      <c r="BQ19" s="6" t="str">
        <f t="shared" si="15"/>
        <v/>
      </c>
      <c r="BR19" s="3"/>
      <c r="BS19" s="4"/>
      <c r="BT19" s="5" t="str">
        <f t="shared" si="32"/>
        <v>休</v>
      </c>
      <c r="BU19" s="6" t="str">
        <f t="shared" si="16"/>
        <v/>
      </c>
      <c r="BW19" s="16">
        <f t="shared" si="33"/>
        <v>955862.75541125517</v>
      </c>
      <c r="BX19" s="16">
        <f t="shared" si="34"/>
        <v>12462903.214285713</v>
      </c>
      <c r="BY19" s="12"/>
    </row>
    <row r="20" spans="1:77">
      <c r="A20" s="1">
        <f t="shared" si="35"/>
        <v>44974</v>
      </c>
      <c r="B20" s="15">
        <v>1</v>
      </c>
      <c r="C20" s="16">
        <f t="shared" si="17"/>
        <v>107142.85714285714</v>
      </c>
      <c r="D20" s="15">
        <v>1</v>
      </c>
      <c r="E20" s="16">
        <f t="shared" si="17"/>
        <v>82142.857142857145</v>
      </c>
      <c r="F20" s="17"/>
      <c r="G20" s="29">
        <f>IF(SUM(F$4:F20)&gt;G$1,0,F20*(G$2/G$1))</f>
        <v>0</v>
      </c>
      <c r="H20" s="17"/>
      <c r="I20" s="29">
        <f>IF(SUM(H$4:H20)&gt;I$1,0,H20*(I$2/I$1))</f>
        <v>0</v>
      </c>
      <c r="J20" s="22">
        <v>0.83333333333333337</v>
      </c>
      <c r="K20" s="4">
        <v>8.3333333333333329E-2</v>
      </c>
      <c r="L20" s="5">
        <f t="shared" si="0"/>
        <v>6</v>
      </c>
      <c r="M20" s="6">
        <f t="shared" si="1"/>
        <v>263636.36363636365</v>
      </c>
      <c r="N20" s="3"/>
      <c r="O20" s="4"/>
      <c r="P20" s="5" t="str">
        <f t="shared" si="18"/>
        <v>休</v>
      </c>
      <c r="Q20" s="6" t="str">
        <f t="shared" si="2"/>
        <v/>
      </c>
      <c r="R20" s="3"/>
      <c r="S20" s="4"/>
      <c r="T20" s="5" t="str">
        <f t="shared" si="19"/>
        <v>休</v>
      </c>
      <c r="U20" s="6" t="str">
        <f t="shared" si="3"/>
        <v/>
      </c>
      <c r="V20" s="3">
        <v>0.83333333333333337</v>
      </c>
      <c r="W20" s="4">
        <v>4.1666666666666664E-2</v>
      </c>
      <c r="X20" s="5">
        <f t="shared" si="20"/>
        <v>4.9999999999999982</v>
      </c>
      <c r="Y20" s="6">
        <f t="shared" si="4"/>
        <v>164999.99999999994</v>
      </c>
      <c r="Z20" s="3"/>
      <c r="AA20" s="4"/>
      <c r="AB20" s="5" t="str">
        <f t="shared" si="21"/>
        <v>休</v>
      </c>
      <c r="AC20" s="6" t="str">
        <f t="shared" si="5"/>
        <v/>
      </c>
      <c r="AD20" s="3">
        <v>0.83333333333333337</v>
      </c>
      <c r="AE20" s="4">
        <v>0</v>
      </c>
      <c r="AF20" s="5">
        <f t="shared" si="22"/>
        <v>3.9999999999999991</v>
      </c>
      <c r="AG20" s="6">
        <f t="shared" si="6"/>
        <v>179999.99999999997</v>
      </c>
      <c r="AH20" s="3">
        <v>0.89583333333333337</v>
      </c>
      <c r="AI20" s="4">
        <v>6.25E-2</v>
      </c>
      <c r="AJ20" s="5">
        <f t="shared" si="23"/>
        <v>3.9999999999999991</v>
      </c>
      <c r="AK20" s="6">
        <f t="shared" si="7"/>
        <v>199999.99999999994</v>
      </c>
      <c r="AL20" s="3"/>
      <c r="AM20" s="4"/>
      <c r="AN20" s="5" t="str">
        <f t="shared" si="24"/>
        <v>休</v>
      </c>
      <c r="AO20" s="6" t="str">
        <f t="shared" si="8"/>
        <v/>
      </c>
      <c r="AP20" s="3">
        <v>0.8125</v>
      </c>
      <c r="AQ20" s="4">
        <v>0.9375</v>
      </c>
      <c r="AR20" s="5">
        <f t="shared" si="25"/>
        <v>3</v>
      </c>
      <c r="AS20" s="6">
        <f t="shared" si="9"/>
        <v>90000</v>
      </c>
      <c r="AT20" s="3"/>
      <c r="AU20" s="4"/>
      <c r="AV20" s="5" t="str">
        <f t="shared" si="26"/>
        <v>休</v>
      </c>
      <c r="AW20" s="6" t="str">
        <f t="shared" si="10"/>
        <v/>
      </c>
      <c r="AX20" s="3"/>
      <c r="AY20" s="4"/>
      <c r="AZ20" s="5" t="str">
        <f t="shared" si="27"/>
        <v>休</v>
      </c>
      <c r="BA20" s="6" t="str">
        <f t="shared" si="11"/>
        <v/>
      </c>
      <c r="BB20" s="3"/>
      <c r="BC20" s="4"/>
      <c r="BD20" s="5" t="str">
        <f t="shared" si="28"/>
        <v>休</v>
      </c>
      <c r="BE20" s="6" t="str">
        <f t="shared" si="12"/>
        <v/>
      </c>
      <c r="BF20" s="3"/>
      <c r="BG20" s="4"/>
      <c r="BH20" s="5" t="str">
        <f t="shared" si="29"/>
        <v>休</v>
      </c>
      <c r="BI20" s="6" t="str">
        <f t="shared" si="13"/>
        <v/>
      </c>
      <c r="BJ20" s="3"/>
      <c r="BK20" s="4"/>
      <c r="BL20" s="5" t="str">
        <f t="shared" si="30"/>
        <v>休</v>
      </c>
      <c r="BM20" s="6" t="str">
        <f t="shared" si="14"/>
        <v/>
      </c>
      <c r="BN20" s="3"/>
      <c r="BO20" s="4"/>
      <c r="BP20" s="5" t="str">
        <f t="shared" si="31"/>
        <v>休</v>
      </c>
      <c r="BQ20" s="6" t="str">
        <f t="shared" si="15"/>
        <v/>
      </c>
      <c r="BR20" s="3"/>
      <c r="BS20" s="4"/>
      <c r="BT20" s="5" t="str">
        <f t="shared" si="32"/>
        <v>休</v>
      </c>
      <c r="BU20" s="6" t="str">
        <f t="shared" si="16"/>
        <v/>
      </c>
      <c r="BW20" s="16">
        <f t="shared" si="33"/>
        <v>1052020.6493506492</v>
      </c>
      <c r="BX20" s="16">
        <f t="shared" si="34"/>
        <v>13514923.863636361</v>
      </c>
      <c r="BY20" s="12"/>
    </row>
    <row r="21" spans="1:77">
      <c r="A21" s="1">
        <f t="shared" si="35"/>
        <v>44975</v>
      </c>
      <c r="B21" s="15">
        <v>1</v>
      </c>
      <c r="C21" s="16">
        <f t="shared" si="17"/>
        <v>107142.85714285714</v>
      </c>
      <c r="D21" s="15">
        <v>1</v>
      </c>
      <c r="E21" s="16">
        <f t="shared" si="17"/>
        <v>82142.857142857145</v>
      </c>
      <c r="F21" s="17"/>
      <c r="G21" s="29">
        <f>IF(SUM(F$4:F21)&gt;G$1,0,F21*(G$2/G$1))</f>
        <v>0</v>
      </c>
      <c r="H21" s="17"/>
      <c r="I21" s="29">
        <f>IF(SUM(H$4:H21)&gt;I$1,0,H21*(I$2/I$1))</f>
        <v>0</v>
      </c>
      <c r="J21" s="22"/>
      <c r="K21" s="4"/>
      <c r="L21" s="5" t="str">
        <f t="shared" si="0"/>
        <v>休</v>
      </c>
      <c r="M21" s="6" t="str">
        <f t="shared" si="1"/>
        <v/>
      </c>
      <c r="N21" s="3"/>
      <c r="O21" s="4"/>
      <c r="P21" s="5" t="str">
        <f t="shared" si="18"/>
        <v>休</v>
      </c>
      <c r="Q21" s="6" t="str">
        <f t="shared" si="2"/>
        <v/>
      </c>
      <c r="R21" s="3"/>
      <c r="S21" s="4"/>
      <c r="T21" s="5" t="str">
        <f t="shared" si="19"/>
        <v>休</v>
      </c>
      <c r="U21" s="6" t="str">
        <f t="shared" si="3"/>
        <v/>
      </c>
      <c r="V21" s="3"/>
      <c r="W21" s="4"/>
      <c r="X21" s="5" t="str">
        <f t="shared" si="20"/>
        <v>休</v>
      </c>
      <c r="Y21" s="6" t="str">
        <f t="shared" si="4"/>
        <v/>
      </c>
      <c r="Z21" s="3"/>
      <c r="AA21" s="4"/>
      <c r="AB21" s="5" t="str">
        <f t="shared" si="21"/>
        <v>休</v>
      </c>
      <c r="AC21" s="6" t="str">
        <f t="shared" si="5"/>
        <v/>
      </c>
      <c r="AD21" s="3"/>
      <c r="AE21" s="4"/>
      <c r="AF21" s="5" t="str">
        <f t="shared" si="22"/>
        <v>休</v>
      </c>
      <c r="AG21" s="6" t="str">
        <f t="shared" si="6"/>
        <v/>
      </c>
      <c r="AH21" s="3"/>
      <c r="AI21" s="4"/>
      <c r="AJ21" s="5" t="str">
        <f t="shared" si="23"/>
        <v>休</v>
      </c>
      <c r="AK21" s="6" t="str">
        <f t="shared" si="7"/>
        <v/>
      </c>
      <c r="AL21" s="3"/>
      <c r="AM21" s="4"/>
      <c r="AN21" s="5" t="str">
        <f t="shared" si="24"/>
        <v>休</v>
      </c>
      <c r="AO21" s="6" t="str">
        <f t="shared" si="8"/>
        <v/>
      </c>
      <c r="AP21" s="3"/>
      <c r="AQ21" s="4"/>
      <c r="AR21" s="5" t="str">
        <f t="shared" si="25"/>
        <v>休</v>
      </c>
      <c r="AS21" s="6" t="str">
        <f t="shared" si="9"/>
        <v/>
      </c>
      <c r="AT21" s="3"/>
      <c r="AU21" s="4"/>
      <c r="AV21" s="5" t="str">
        <f t="shared" si="26"/>
        <v>休</v>
      </c>
      <c r="AW21" s="6" t="str">
        <f t="shared" si="10"/>
        <v/>
      </c>
      <c r="AX21" s="3"/>
      <c r="AY21" s="4"/>
      <c r="AZ21" s="5" t="str">
        <f t="shared" si="27"/>
        <v>休</v>
      </c>
      <c r="BA21" s="6" t="str">
        <f t="shared" si="11"/>
        <v/>
      </c>
      <c r="BB21" s="3"/>
      <c r="BC21" s="4"/>
      <c r="BD21" s="5" t="str">
        <f t="shared" si="28"/>
        <v>休</v>
      </c>
      <c r="BE21" s="6" t="str">
        <f t="shared" si="12"/>
        <v/>
      </c>
      <c r="BF21" s="3"/>
      <c r="BG21" s="4"/>
      <c r="BH21" s="5" t="str">
        <f t="shared" si="29"/>
        <v>休</v>
      </c>
      <c r="BI21" s="6" t="str">
        <f t="shared" si="13"/>
        <v/>
      </c>
      <c r="BJ21" s="3"/>
      <c r="BK21" s="4"/>
      <c r="BL21" s="5" t="str">
        <f t="shared" si="30"/>
        <v>休</v>
      </c>
      <c r="BM21" s="6" t="str">
        <f t="shared" si="14"/>
        <v/>
      </c>
      <c r="BN21" s="3"/>
      <c r="BO21" s="4"/>
      <c r="BP21" s="5" t="str">
        <f t="shared" si="31"/>
        <v>休</v>
      </c>
      <c r="BQ21" s="6" t="str">
        <f t="shared" si="15"/>
        <v/>
      </c>
      <c r="BR21" s="3"/>
      <c r="BS21" s="4"/>
      <c r="BT21" s="5" t="str">
        <f t="shared" si="32"/>
        <v>休</v>
      </c>
      <c r="BU21" s="6" t="str">
        <f t="shared" si="16"/>
        <v/>
      </c>
      <c r="BW21" s="16">
        <f t="shared" si="33"/>
        <v>183039.28571428571</v>
      </c>
      <c r="BX21" s="16">
        <f t="shared" si="34"/>
        <v>13697963.149350647</v>
      </c>
      <c r="BY21" s="12"/>
    </row>
    <row r="22" spans="1:77">
      <c r="A22" s="1">
        <f t="shared" si="35"/>
        <v>44976</v>
      </c>
      <c r="B22" s="15">
        <v>1</v>
      </c>
      <c r="C22" s="16">
        <f t="shared" si="17"/>
        <v>107142.85714285714</v>
      </c>
      <c r="D22" s="15">
        <v>1</v>
      </c>
      <c r="E22" s="16">
        <f t="shared" si="17"/>
        <v>82142.857142857145</v>
      </c>
      <c r="F22" s="17"/>
      <c r="G22" s="29">
        <f>IF(SUM(F$4:F22)&gt;G$1,0,F22*(G$2/G$1))</f>
        <v>0</v>
      </c>
      <c r="H22" s="17"/>
      <c r="I22" s="29">
        <f>IF(SUM(H$4:H22)&gt;I$1,0,H22*(I$2/I$1))</f>
        <v>0</v>
      </c>
      <c r="J22" s="22"/>
      <c r="K22" s="4"/>
      <c r="L22" s="5" t="str">
        <f t="shared" si="0"/>
        <v>休</v>
      </c>
      <c r="M22" s="6" t="str">
        <f t="shared" si="1"/>
        <v/>
      </c>
      <c r="N22" s="3"/>
      <c r="O22" s="4"/>
      <c r="P22" s="5" t="str">
        <f t="shared" si="18"/>
        <v>休</v>
      </c>
      <c r="Q22" s="6" t="str">
        <f t="shared" si="2"/>
        <v/>
      </c>
      <c r="R22" s="3"/>
      <c r="S22" s="4"/>
      <c r="T22" s="5" t="str">
        <f t="shared" si="19"/>
        <v>休</v>
      </c>
      <c r="U22" s="6" t="str">
        <f t="shared" si="3"/>
        <v/>
      </c>
      <c r="V22" s="3"/>
      <c r="W22" s="4"/>
      <c r="X22" s="5" t="str">
        <f t="shared" si="20"/>
        <v>休</v>
      </c>
      <c r="Y22" s="6" t="str">
        <f t="shared" si="4"/>
        <v/>
      </c>
      <c r="Z22" s="3"/>
      <c r="AA22" s="4"/>
      <c r="AB22" s="5" t="str">
        <f t="shared" si="21"/>
        <v>休</v>
      </c>
      <c r="AC22" s="6" t="str">
        <f t="shared" si="5"/>
        <v/>
      </c>
      <c r="AD22" s="3"/>
      <c r="AE22" s="4"/>
      <c r="AF22" s="5" t="str">
        <f t="shared" si="22"/>
        <v>休</v>
      </c>
      <c r="AG22" s="6" t="str">
        <f t="shared" si="6"/>
        <v/>
      </c>
      <c r="AH22" s="3"/>
      <c r="AI22" s="4"/>
      <c r="AJ22" s="5" t="str">
        <f t="shared" si="23"/>
        <v>休</v>
      </c>
      <c r="AK22" s="6" t="str">
        <f t="shared" si="7"/>
        <v/>
      </c>
      <c r="AL22" s="3"/>
      <c r="AM22" s="4"/>
      <c r="AN22" s="5" t="str">
        <f t="shared" si="24"/>
        <v>休</v>
      </c>
      <c r="AO22" s="6" t="str">
        <f t="shared" si="8"/>
        <v/>
      </c>
      <c r="AP22" s="3"/>
      <c r="AQ22" s="4"/>
      <c r="AR22" s="5" t="str">
        <f t="shared" si="25"/>
        <v>休</v>
      </c>
      <c r="AS22" s="6" t="str">
        <f t="shared" si="9"/>
        <v/>
      </c>
      <c r="AT22" s="3"/>
      <c r="AU22" s="4"/>
      <c r="AV22" s="5" t="str">
        <f t="shared" si="26"/>
        <v>休</v>
      </c>
      <c r="AW22" s="6" t="str">
        <f t="shared" si="10"/>
        <v/>
      </c>
      <c r="AX22" s="3"/>
      <c r="AY22" s="4"/>
      <c r="AZ22" s="5" t="str">
        <f t="shared" si="27"/>
        <v>休</v>
      </c>
      <c r="BA22" s="6" t="str">
        <f t="shared" si="11"/>
        <v/>
      </c>
      <c r="BB22" s="3"/>
      <c r="BC22" s="4"/>
      <c r="BD22" s="5" t="str">
        <f t="shared" si="28"/>
        <v>休</v>
      </c>
      <c r="BE22" s="6" t="str">
        <f t="shared" si="12"/>
        <v/>
      </c>
      <c r="BF22" s="3"/>
      <c r="BG22" s="4"/>
      <c r="BH22" s="5" t="str">
        <f t="shared" si="29"/>
        <v>休</v>
      </c>
      <c r="BI22" s="6" t="str">
        <f t="shared" si="13"/>
        <v/>
      </c>
      <c r="BJ22" s="3"/>
      <c r="BK22" s="4"/>
      <c r="BL22" s="5" t="str">
        <f t="shared" si="30"/>
        <v>休</v>
      </c>
      <c r="BM22" s="6" t="str">
        <f t="shared" si="14"/>
        <v/>
      </c>
      <c r="BN22" s="3"/>
      <c r="BO22" s="4"/>
      <c r="BP22" s="5" t="str">
        <f t="shared" si="31"/>
        <v>休</v>
      </c>
      <c r="BQ22" s="6" t="str">
        <f t="shared" si="15"/>
        <v/>
      </c>
      <c r="BR22" s="3"/>
      <c r="BS22" s="4"/>
      <c r="BT22" s="5" t="str">
        <f t="shared" si="32"/>
        <v>休</v>
      </c>
      <c r="BU22" s="6" t="str">
        <f t="shared" si="16"/>
        <v/>
      </c>
      <c r="BW22" s="16">
        <f t="shared" si="33"/>
        <v>183039.28571428571</v>
      </c>
      <c r="BX22" s="16">
        <f t="shared" si="34"/>
        <v>13881002.435064932</v>
      </c>
      <c r="BY22" s="12"/>
    </row>
    <row r="23" spans="1:77">
      <c r="A23" s="1">
        <f t="shared" si="35"/>
        <v>44977</v>
      </c>
      <c r="B23" s="15"/>
      <c r="C23" s="16">
        <f t="shared" si="17"/>
        <v>0</v>
      </c>
      <c r="D23" s="17"/>
      <c r="E23" s="16">
        <f t="shared" si="17"/>
        <v>0</v>
      </c>
      <c r="F23" s="17"/>
      <c r="G23" s="29">
        <f>IF(SUM(F$4:F23)&gt;G$1,0,F23*(G$2/G$1))</f>
        <v>0</v>
      </c>
      <c r="H23" s="17"/>
      <c r="I23" s="29">
        <f>IF(SUM(H$4:H23)&gt;I$1,0,H23*(I$2/I$1))</f>
        <v>0</v>
      </c>
      <c r="J23" s="22"/>
      <c r="K23" s="4"/>
      <c r="L23" s="5" t="str">
        <f t="shared" si="0"/>
        <v>休</v>
      </c>
      <c r="M23" s="6" t="str">
        <f t="shared" si="1"/>
        <v/>
      </c>
      <c r="N23" s="3"/>
      <c r="O23" s="4"/>
      <c r="P23" s="5" t="str">
        <f t="shared" si="18"/>
        <v>休</v>
      </c>
      <c r="Q23" s="6" t="str">
        <f t="shared" si="2"/>
        <v/>
      </c>
      <c r="R23" s="3"/>
      <c r="S23" s="4"/>
      <c r="T23" s="5" t="str">
        <f t="shared" si="19"/>
        <v>休</v>
      </c>
      <c r="U23" s="6" t="str">
        <f t="shared" si="3"/>
        <v/>
      </c>
      <c r="V23" s="3"/>
      <c r="W23" s="4"/>
      <c r="X23" s="5" t="str">
        <f t="shared" si="20"/>
        <v>休</v>
      </c>
      <c r="Y23" s="6" t="str">
        <f t="shared" si="4"/>
        <v/>
      </c>
      <c r="Z23" s="3"/>
      <c r="AA23" s="4"/>
      <c r="AB23" s="5" t="str">
        <f t="shared" si="21"/>
        <v>休</v>
      </c>
      <c r="AC23" s="6" t="str">
        <f t="shared" si="5"/>
        <v/>
      </c>
      <c r="AD23" s="3"/>
      <c r="AE23" s="4"/>
      <c r="AF23" s="5" t="str">
        <f t="shared" si="22"/>
        <v>休</v>
      </c>
      <c r="AG23" s="6" t="str">
        <f t="shared" si="6"/>
        <v/>
      </c>
      <c r="AH23" s="3"/>
      <c r="AI23" s="4"/>
      <c r="AJ23" s="5" t="str">
        <f t="shared" si="23"/>
        <v>休</v>
      </c>
      <c r="AK23" s="6" t="str">
        <f t="shared" si="7"/>
        <v/>
      </c>
      <c r="AL23" s="3"/>
      <c r="AM23" s="4"/>
      <c r="AN23" s="5" t="str">
        <f t="shared" si="24"/>
        <v>休</v>
      </c>
      <c r="AO23" s="6" t="str">
        <f t="shared" si="8"/>
        <v/>
      </c>
      <c r="AP23" s="3"/>
      <c r="AQ23" s="4"/>
      <c r="AR23" s="5" t="str">
        <f t="shared" si="25"/>
        <v>休</v>
      </c>
      <c r="AS23" s="6" t="str">
        <f t="shared" si="9"/>
        <v/>
      </c>
      <c r="AT23" s="3"/>
      <c r="AU23" s="4"/>
      <c r="AV23" s="5" t="str">
        <f t="shared" si="26"/>
        <v>休</v>
      </c>
      <c r="AW23" s="6" t="str">
        <f t="shared" si="10"/>
        <v/>
      </c>
      <c r="AX23" s="3"/>
      <c r="AY23" s="4"/>
      <c r="AZ23" s="5" t="str">
        <f t="shared" si="27"/>
        <v>休</v>
      </c>
      <c r="BA23" s="6" t="str">
        <f t="shared" si="11"/>
        <v/>
      </c>
      <c r="BB23" s="3"/>
      <c r="BC23" s="4"/>
      <c r="BD23" s="5" t="str">
        <f t="shared" si="28"/>
        <v>休</v>
      </c>
      <c r="BE23" s="6" t="str">
        <f t="shared" si="12"/>
        <v/>
      </c>
      <c r="BF23" s="3"/>
      <c r="BG23" s="4"/>
      <c r="BH23" s="5" t="str">
        <f t="shared" si="29"/>
        <v>休</v>
      </c>
      <c r="BI23" s="6" t="str">
        <f t="shared" si="13"/>
        <v/>
      </c>
      <c r="BJ23" s="3"/>
      <c r="BK23" s="4"/>
      <c r="BL23" s="5" t="str">
        <f t="shared" si="30"/>
        <v>休</v>
      </c>
      <c r="BM23" s="6" t="str">
        <f t="shared" si="14"/>
        <v/>
      </c>
      <c r="BN23" s="3"/>
      <c r="BO23" s="4"/>
      <c r="BP23" s="5" t="str">
        <f t="shared" si="31"/>
        <v>休</v>
      </c>
      <c r="BQ23" s="6" t="str">
        <f t="shared" si="15"/>
        <v/>
      </c>
      <c r="BR23" s="3"/>
      <c r="BS23" s="4"/>
      <c r="BT23" s="5" t="str">
        <f t="shared" si="32"/>
        <v>休</v>
      </c>
      <c r="BU23" s="6" t="str">
        <f t="shared" si="16"/>
        <v/>
      </c>
      <c r="BW23" s="16">
        <f t="shared" si="33"/>
        <v>0</v>
      </c>
      <c r="BX23" s="16">
        <f t="shared" si="34"/>
        <v>13881002.435064932</v>
      </c>
      <c r="BY23" s="12"/>
    </row>
    <row r="24" spans="1:77">
      <c r="A24" s="1">
        <f t="shared" si="35"/>
        <v>44978</v>
      </c>
      <c r="B24" s="15"/>
      <c r="C24" s="16">
        <f t="shared" si="17"/>
        <v>0</v>
      </c>
      <c r="D24" s="17"/>
      <c r="E24" s="16">
        <f t="shared" si="17"/>
        <v>0</v>
      </c>
      <c r="F24" s="17"/>
      <c r="G24" s="29">
        <f>IF(SUM(F$4:F24)&gt;G$1,0,F24*(G$2/G$1))</f>
        <v>0</v>
      </c>
      <c r="H24" s="17"/>
      <c r="I24" s="29">
        <f>IF(SUM(H$4:H24)&gt;I$1,0,H24*(I$2/I$1))</f>
        <v>0</v>
      </c>
      <c r="J24" s="22"/>
      <c r="K24" s="4"/>
      <c r="L24" s="5" t="str">
        <f t="shared" si="0"/>
        <v>休</v>
      </c>
      <c r="M24" s="6" t="str">
        <f t="shared" si="1"/>
        <v/>
      </c>
      <c r="N24" s="3"/>
      <c r="O24" s="4"/>
      <c r="P24" s="5" t="str">
        <f t="shared" si="18"/>
        <v>休</v>
      </c>
      <c r="Q24" s="6" t="str">
        <f t="shared" si="2"/>
        <v/>
      </c>
      <c r="R24" s="3"/>
      <c r="S24" s="4"/>
      <c r="T24" s="5" t="str">
        <f t="shared" si="19"/>
        <v>休</v>
      </c>
      <c r="U24" s="6" t="str">
        <f t="shared" si="3"/>
        <v/>
      </c>
      <c r="V24" s="3"/>
      <c r="W24" s="4"/>
      <c r="X24" s="5" t="str">
        <f t="shared" si="20"/>
        <v>休</v>
      </c>
      <c r="Y24" s="6" t="str">
        <f t="shared" si="4"/>
        <v/>
      </c>
      <c r="Z24" s="3"/>
      <c r="AA24" s="4"/>
      <c r="AB24" s="5" t="str">
        <f t="shared" si="21"/>
        <v>休</v>
      </c>
      <c r="AC24" s="6" t="str">
        <f t="shared" si="5"/>
        <v/>
      </c>
      <c r="AD24" s="3"/>
      <c r="AE24" s="4"/>
      <c r="AF24" s="5" t="str">
        <f t="shared" si="22"/>
        <v>休</v>
      </c>
      <c r="AG24" s="6" t="str">
        <f t="shared" si="6"/>
        <v/>
      </c>
      <c r="AH24" s="3"/>
      <c r="AI24" s="4"/>
      <c r="AJ24" s="5" t="str">
        <f t="shared" si="23"/>
        <v>休</v>
      </c>
      <c r="AK24" s="6" t="str">
        <f t="shared" si="7"/>
        <v/>
      </c>
      <c r="AL24" s="3"/>
      <c r="AM24" s="4"/>
      <c r="AN24" s="5" t="str">
        <f t="shared" si="24"/>
        <v>休</v>
      </c>
      <c r="AO24" s="6" t="str">
        <f t="shared" si="8"/>
        <v/>
      </c>
      <c r="AP24" s="3"/>
      <c r="AQ24" s="4"/>
      <c r="AR24" s="5" t="str">
        <f t="shared" si="25"/>
        <v>休</v>
      </c>
      <c r="AS24" s="6" t="str">
        <f t="shared" si="9"/>
        <v/>
      </c>
      <c r="AT24" s="3"/>
      <c r="AU24" s="4"/>
      <c r="AV24" s="5" t="str">
        <f t="shared" si="26"/>
        <v>休</v>
      </c>
      <c r="AW24" s="6" t="str">
        <f t="shared" si="10"/>
        <v/>
      </c>
      <c r="AX24" s="3"/>
      <c r="AY24" s="4"/>
      <c r="AZ24" s="5" t="str">
        <f t="shared" si="27"/>
        <v>休</v>
      </c>
      <c r="BA24" s="6" t="str">
        <f t="shared" si="11"/>
        <v/>
      </c>
      <c r="BB24" s="3"/>
      <c r="BC24" s="4"/>
      <c r="BD24" s="5" t="str">
        <f t="shared" si="28"/>
        <v>休</v>
      </c>
      <c r="BE24" s="6" t="str">
        <f t="shared" si="12"/>
        <v/>
      </c>
      <c r="BF24" s="3"/>
      <c r="BG24" s="4"/>
      <c r="BH24" s="5" t="str">
        <f t="shared" si="29"/>
        <v>休</v>
      </c>
      <c r="BI24" s="6" t="str">
        <f t="shared" si="13"/>
        <v/>
      </c>
      <c r="BJ24" s="3"/>
      <c r="BK24" s="4"/>
      <c r="BL24" s="5" t="str">
        <f t="shared" si="30"/>
        <v>休</v>
      </c>
      <c r="BM24" s="6" t="str">
        <f t="shared" si="14"/>
        <v/>
      </c>
      <c r="BN24" s="3"/>
      <c r="BO24" s="4"/>
      <c r="BP24" s="5" t="str">
        <f t="shared" si="31"/>
        <v>休</v>
      </c>
      <c r="BQ24" s="6" t="str">
        <f t="shared" si="15"/>
        <v/>
      </c>
      <c r="BR24" s="3"/>
      <c r="BS24" s="4"/>
      <c r="BT24" s="5" t="str">
        <f t="shared" si="32"/>
        <v>休</v>
      </c>
      <c r="BU24" s="6" t="str">
        <f t="shared" si="16"/>
        <v/>
      </c>
      <c r="BW24" s="16">
        <f t="shared" si="33"/>
        <v>0</v>
      </c>
      <c r="BX24" s="16">
        <f t="shared" si="34"/>
        <v>13881002.435064932</v>
      </c>
      <c r="BY24" s="12"/>
    </row>
    <row r="25" spans="1:77">
      <c r="A25" s="1">
        <f t="shared" si="35"/>
        <v>44979</v>
      </c>
      <c r="B25" s="15"/>
      <c r="C25" s="16">
        <f t="shared" si="17"/>
        <v>0</v>
      </c>
      <c r="D25" s="17"/>
      <c r="E25" s="16">
        <f t="shared" si="17"/>
        <v>0</v>
      </c>
      <c r="F25" s="17"/>
      <c r="G25" s="29">
        <f>IF(SUM(F$4:F25)&gt;G$1,0,F25*(G$2/G$1))</f>
        <v>0</v>
      </c>
      <c r="H25" s="17"/>
      <c r="I25" s="29">
        <f>IF(SUM(H$4:H25)&gt;I$1,0,H25*(I$2/I$1))</f>
        <v>0</v>
      </c>
      <c r="J25" s="22"/>
      <c r="K25" s="4"/>
      <c r="L25" s="5" t="str">
        <f t="shared" si="0"/>
        <v>休</v>
      </c>
      <c r="M25" s="6" t="str">
        <f t="shared" si="1"/>
        <v/>
      </c>
      <c r="N25" s="3"/>
      <c r="O25" s="4"/>
      <c r="P25" s="5" t="str">
        <f t="shared" si="18"/>
        <v>休</v>
      </c>
      <c r="Q25" s="6" t="str">
        <f t="shared" si="2"/>
        <v/>
      </c>
      <c r="R25" s="3"/>
      <c r="S25" s="4"/>
      <c r="T25" s="5" t="str">
        <f t="shared" si="19"/>
        <v>休</v>
      </c>
      <c r="U25" s="6" t="str">
        <f t="shared" si="3"/>
        <v/>
      </c>
      <c r="V25" s="3"/>
      <c r="W25" s="4"/>
      <c r="X25" s="5" t="str">
        <f t="shared" si="20"/>
        <v>休</v>
      </c>
      <c r="Y25" s="6" t="str">
        <f t="shared" si="4"/>
        <v/>
      </c>
      <c r="Z25" s="3"/>
      <c r="AA25" s="4"/>
      <c r="AB25" s="5" t="str">
        <f t="shared" si="21"/>
        <v>休</v>
      </c>
      <c r="AC25" s="6" t="str">
        <f t="shared" si="5"/>
        <v/>
      </c>
      <c r="AD25" s="3"/>
      <c r="AE25" s="4"/>
      <c r="AF25" s="5" t="str">
        <f t="shared" si="22"/>
        <v>休</v>
      </c>
      <c r="AG25" s="6" t="str">
        <f t="shared" si="6"/>
        <v/>
      </c>
      <c r="AH25" s="3"/>
      <c r="AI25" s="4"/>
      <c r="AJ25" s="5" t="str">
        <f t="shared" si="23"/>
        <v>休</v>
      </c>
      <c r="AK25" s="6" t="str">
        <f t="shared" si="7"/>
        <v/>
      </c>
      <c r="AL25" s="3"/>
      <c r="AM25" s="4"/>
      <c r="AN25" s="5" t="str">
        <f t="shared" si="24"/>
        <v>休</v>
      </c>
      <c r="AO25" s="6" t="str">
        <f t="shared" si="8"/>
        <v/>
      </c>
      <c r="AP25" s="3"/>
      <c r="AQ25" s="4"/>
      <c r="AR25" s="5" t="str">
        <f t="shared" si="25"/>
        <v>休</v>
      </c>
      <c r="AS25" s="6" t="str">
        <f t="shared" si="9"/>
        <v/>
      </c>
      <c r="AT25" s="3"/>
      <c r="AU25" s="4"/>
      <c r="AV25" s="5" t="str">
        <f t="shared" si="26"/>
        <v>休</v>
      </c>
      <c r="AW25" s="6" t="str">
        <f t="shared" si="10"/>
        <v/>
      </c>
      <c r="AX25" s="3"/>
      <c r="AY25" s="4"/>
      <c r="AZ25" s="5" t="str">
        <f t="shared" si="27"/>
        <v>休</v>
      </c>
      <c r="BA25" s="6" t="str">
        <f t="shared" si="11"/>
        <v/>
      </c>
      <c r="BB25" s="3"/>
      <c r="BC25" s="4"/>
      <c r="BD25" s="5" t="str">
        <f t="shared" si="28"/>
        <v>休</v>
      </c>
      <c r="BE25" s="6" t="str">
        <f t="shared" si="12"/>
        <v/>
      </c>
      <c r="BF25" s="3"/>
      <c r="BG25" s="4"/>
      <c r="BH25" s="5" t="str">
        <f t="shared" si="29"/>
        <v>休</v>
      </c>
      <c r="BI25" s="6" t="str">
        <f t="shared" si="13"/>
        <v/>
      </c>
      <c r="BJ25" s="3"/>
      <c r="BK25" s="4"/>
      <c r="BL25" s="5" t="str">
        <f t="shared" si="30"/>
        <v>休</v>
      </c>
      <c r="BM25" s="6" t="str">
        <f t="shared" si="14"/>
        <v/>
      </c>
      <c r="BN25" s="3"/>
      <c r="BO25" s="4"/>
      <c r="BP25" s="5" t="str">
        <f t="shared" si="31"/>
        <v>休</v>
      </c>
      <c r="BQ25" s="6" t="str">
        <f t="shared" si="15"/>
        <v/>
      </c>
      <c r="BR25" s="3"/>
      <c r="BS25" s="4"/>
      <c r="BT25" s="5" t="str">
        <f t="shared" si="32"/>
        <v>休</v>
      </c>
      <c r="BU25" s="6" t="str">
        <f t="shared" si="16"/>
        <v/>
      </c>
      <c r="BW25" s="16">
        <f t="shared" si="33"/>
        <v>0</v>
      </c>
      <c r="BX25" s="16">
        <f t="shared" si="34"/>
        <v>13881002.435064932</v>
      </c>
      <c r="BY25" s="12"/>
    </row>
    <row r="26" spans="1:77">
      <c r="A26" s="1">
        <f t="shared" si="35"/>
        <v>44980</v>
      </c>
      <c r="B26" s="15"/>
      <c r="C26" s="16">
        <f t="shared" si="17"/>
        <v>0</v>
      </c>
      <c r="D26" s="17"/>
      <c r="E26" s="16">
        <f t="shared" si="17"/>
        <v>0</v>
      </c>
      <c r="F26" s="17"/>
      <c r="G26" s="29">
        <f>IF(SUM(F$4:F26)&gt;G$1,0,F26*(G$2/G$1))</f>
        <v>0</v>
      </c>
      <c r="H26" s="17"/>
      <c r="I26" s="29">
        <f>IF(SUM(H$4:H26)&gt;I$1,0,H26*(I$2/I$1))</f>
        <v>0</v>
      </c>
      <c r="J26" s="22"/>
      <c r="K26" s="4"/>
      <c r="L26" s="5" t="str">
        <f t="shared" si="0"/>
        <v>休</v>
      </c>
      <c r="M26" s="6" t="str">
        <f t="shared" si="1"/>
        <v/>
      </c>
      <c r="N26" s="3"/>
      <c r="O26" s="4"/>
      <c r="P26" s="5" t="str">
        <f t="shared" si="18"/>
        <v>休</v>
      </c>
      <c r="Q26" s="6" t="str">
        <f t="shared" si="2"/>
        <v/>
      </c>
      <c r="R26" s="3"/>
      <c r="S26" s="4"/>
      <c r="T26" s="5" t="str">
        <f t="shared" si="19"/>
        <v>休</v>
      </c>
      <c r="U26" s="6" t="str">
        <f t="shared" si="3"/>
        <v/>
      </c>
      <c r="V26" s="3"/>
      <c r="W26" s="4"/>
      <c r="X26" s="5" t="str">
        <f t="shared" si="20"/>
        <v>休</v>
      </c>
      <c r="Y26" s="6" t="str">
        <f t="shared" si="4"/>
        <v/>
      </c>
      <c r="Z26" s="3"/>
      <c r="AA26" s="4"/>
      <c r="AB26" s="5" t="str">
        <f t="shared" si="21"/>
        <v>休</v>
      </c>
      <c r="AC26" s="6" t="str">
        <f t="shared" si="5"/>
        <v/>
      </c>
      <c r="AD26" s="3"/>
      <c r="AE26" s="4"/>
      <c r="AF26" s="5" t="str">
        <f t="shared" si="22"/>
        <v>休</v>
      </c>
      <c r="AG26" s="6" t="str">
        <f t="shared" si="6"/>
        <v/>
      </c>
      <c r="AH26" s="3"/>
      <c r="AI26" s="4"/>
      <c r="AJ26" s="5" t="str">
        <f t="shared" si="23"/>
        <v>休</v>
      </c>
      <c r="AK26" s="6" t="str">
        <f t="shared" si="7"/>
        <v/>
      </c>
      <c r="AL26" s="3"/>
      <c r="AM26" s="4"/>
      <c r="AN26" s="5" t="str">
        <f t="shared" si="24"/>
        <v>休</v>
      </c>
      <c r="AO26" s="6" t="str">
        <f t="shared" si="8"/>
        <v/>
      </c>
      <c r="AP26" s="3"/>
      <c r="AQ26" s="4"/>
      <c r="AR26" s="5" t="str">
        <f t="shared" si="25"/>
        <v>休</v>
      </c>
      <c r="AS26" s="6" t="str">
        <f t="shared" si="9"/>
        <v/>
      </c>
      <c r="AT26" s="3"/>
      <c r="AU26" s="4"/>
      <c r="AV26" s="5" t="str">
        <f t="shared" si="26"/>
        <v>休</v>
      </c>
      <c r="AW26" s="6" t="str">
        <f t="shared" si="10"/>
        <v/>
      </c>
      <c r="AX26" s="3"/>
      <c r="AY26" s="4"/>
      <c r="AZ26" s="5" t="str">
        <f t="shared" si="27"/>
        <v>休</v>
      </c>
      <c r="BA26" s="6" t="str">
        <f t="shared" si="11"/>
        <v/>
      </c>
      <c r="BB26" s="3"/>
      <c r="BC26" s="4"/>
      <c r="BD26" s="5" t="str">
        <f t="shared" si="28"/>
        <v>休</v>
      </c>
      <c r="BE26" s="6" t="str">
        <f t="shared" si="12"/>
        <v/>
      </c>
      <c r="BF26" s="3"/>
      <c r="BG26" s="4"/>
      <c r="BH26" s="5" t="str">
        <f t="shared" si="29"/>
        <v>休</v>
      </c>
      <c r="BI26" s="6" t="str">
        <f t="shared" si="13"/>
        <v/>
      </c>
      <c r="BJ26" s="3"/>
      <c r="BK26" s="4"/>
      <c r="BL26" s="5" t="str">
        <f t="shared" si="30"/>
        <v>休</v>
      </c>
      <c r="BM26" s="6" t="str">
        <f t="shared" si="14"/>
        <v/>
      </c>
      <c r="BN26" s="3"/>
      <c r="BO26" s="4"/>
      <c r="BP26" s="5" t="str">
        <f t="shared" si="31"/>
        <v>休</v>
      </c>
      <c r="BQ26" s="6" t="str">
        <f t="shared" si="15"/>
        <v/>
      </c>
      <c r="BR26" s="3"/>
      <c r="BS26" s="4"/>
      <c r="BT26" s="5" t="str">
        <f t="shared" si="32"/>
        <v>休</v>
      </c>
      <c r="BU26" s="6" t="str">
        <f t="shared" si="16"/>
        <v/>
      </c>
      <c r="BW26" s="16">
        <f t="shared" si="33"/>
        <v>0</v>
      </c>
      <c r="BX26" s="16">
        <f t="shared" si="34"/>
        <v>13881002.435064932</v>
      </c>
      <c r="BY26" s="12"/>
    </row>
    <row r="27" spans="1:77">
      <c r="A27" s="1">
        <f t="shared" si="35"/>
        <v>44981</v>
      </c>
      <c r="B27" s="15"/>
      <c r="C27" s="16">
        <f t="shared" si="17"/>
        <v>0</v>
      </c>
      <c r="D27" s="17"/>
      <c r="E27" s="16">
        <f t="shared" si="17"/>
        <v>0</v>
      </c>
      <c r="F27" s="17"/>
      <c r="G27" s="29">
        <f>IF(SUM(F$4:F27)&gt;G$1,0,F27*(G$2/G$1))</f>
        <v>0</v>
      </c>
      <c r="H27" s="17"/>
      <c r="I27" s="29">
        <f>IF(SUM(H$4:H27)&gt;I$1,0,H27*(I$2/I$1))</f>
        <v>0</v>
      </c>
      <c r="J27" s="22"/>
      <c r="K27" s="4"/>
      <c r="L27" s="5" t="str">
        <f t="shared" si="0"/>
        <v>休</v>
      </c>
      <c r="M27" s="6" t="str">
        <f t="shared" si="1"/>
        <v/>
      </c>
      <c r="N27" s="3"/>
      <c r="O27" s="4"/>
      <c r="P27" s="5" t="str">
        <f t="shared" si="18"/>
        <v>休</v>
      </c>
      <c r="Q27" s="6" t="str">
        <f t="shared" si="2"/>
        <v/>
      </c>
      <c r="R27" s="3"/>
      <c r="S27" s="4"/>
      <c r="T27" s="5" t="str">
        <f t="shared" si="19"/>
        <v>休</v>
      </c>
      <c r="U27" s="6" t="str">
        <f t="shared" si="3"/>
        <v/>
      </c>
      <c r="V27" s="3"/>
      <c r="W27" s="4"/>
      <c r="X27" s="5" t="str">
        <f t="shared" si="20"/>
        <v>休</v>
      </c>
      <c r="Y27" s="6" t="str">
        <f t="shared" si="4"/>
        <v/>
      </c>
      <c r="Z27" s="3"/>
      <c r="AA27" s="4"/>
      <c r="AB27" s="5" t="str">
        <f t="shared" si="21"/>
        <v>休</v>
      </c>
      <c r="AC27" s="6" t="str">
        <f t="shared" si="5"/>
        <v/>
      </c>
      <c r="AD27" s="3"/>
      <c r="AE27" s="4"/>
      <c r="AF27" s="5" t="str">
        <f t="shared" si="22"/>
        <v>休</v>
      </c>
      <c r="AG27" s="6" t="str">
        <f t="shared" si="6"/>
        <v/>
      </c>
      <c r="AH27" s="3"/>
      <c r="AI27" s="4"/>
      <c r="AJ27" s="5" t="str">
        <f t="shared" si="23"/>
        <v>休</v>
      </c>
      <c r="AK27" s="6" t="str">
        <f t="shared" si="7"/>
        <v/>
      </c>
      <c r="AL27" s="3"/>
      <c r="AM27" s="4"/>
      <c r="AN27" s="5" t="str">
        <f t="shared" si="24"/>
        <v>休</v>
      </c>
      <c r="AO27" s="6" t="str">
        <f t="shared" si="8"/>
        <v/>
      </c>
      <c r="AP27" s="3"/>
      <c r="AQ27" s="4"/>
      <c r="AR27" s="5" t="str">
        <f t="shared" si="25"/>
        <v>休</v>
      </c>
      <c r="AS27" s="6" t="str">
        <f t="shared" si="9"/>
        <v/>
      </c>
      <c r="AT27" s="3"/>
      <c r="AU27" s="4"/>
      <c r="AV27" s="5" t="str">
        <f t="shared" si="26"/>
        <v>休</v>
      </c>
      <c r="AW27" s="6" t="str">
        <f t="shared" si="10"/>
        <v/>
      </c>
      <c r="AX27" s="3"/>
      <c r="AY27" s="4"/>
      <c r="AZ27" s="5" t="str">
        <f t="shared" si="27"/>
        <v>休</v>
      </c>
      <c r="BA27" s="6" t="str">
        <f t="shared" si="11"/>
        <v/>
      </c>
      <c r="BB27" s="3"/>
      <c r="BC27" s="4"/>
      <c r="BD27" s="5" t="str">
        <f t="shared" si="28"/>
        <v>休</v>
      </c>
      <c r="BE27" s="6" t="str">
        <f t="shared" si="12"/>
        <v/>
      </c>
      <c r="BF27" s="3"/>
      <c r="BG27" s="4"/>
      <c r="BH27" s="5" t="str">
        <f t="shared" si="29"/>
        <v>休</v>
      </c>
      <c r="BI27" s="6" t="str">
        <f t="shared" si="13"/>
        <v/>
      </c>
      <c r="BJ27" s="3"/>
      <c r="BK27" s="4"/>
      <c r="BL27" s="5" t="str">
        <f t="shared" si="30"/>
        <v>休</v>
      </c>
      <c r="BM27" s="6" t="str">
        <f t="shared" si="14"/>
        <v/>
      </c>
      <c r="BN27" s="3"/>
      <c r="BO27" s="4"/>
      <c r="BP27" s="5" t="str">
        <f t="shared" si="31"/>
        <v>休</v>
      </c>
      <c r="BQ27" s="6" t="str">
        <f t="shared" si="15"/>
        <v/>
      </c>
      <c r="BR27" s="3"/>
      <c r="BS27" s="4"/>
      <c r="BT27" s="5" t="str">
        <f t="shared" si="32"/>
        <v>休</v>
      </c>
      <c r="BU27" s="6" t="str">
        <f t="shared" si="16"/>
        <v/>
      </c>
      <c r="BW27" s="16">
        <f t="shared" si="33"/>
        <v>0</v>
      </c>
      <c r="BX27" s="16">
        <f t="shared" si="34"/>
        <v>13881002.435064932</v>
      </c>
      <c r="BY27" s="12"/>
    </row>
    <row r="28" spans="1:77">
      <c r="A28" s="1">
        <f t="shared" si="35"/>
        <v>44982</v>
      </c>
      <c r="B28" s="15"/>
      <c r="C28" s="16">
        <f t="shared" si="17"/>
        <v>0</v>
      </c>
      <c r="D28" s="17"/>
      <c r="E28" s="16">
        <f t="shared" si="17"/>
        <v>0</v>
      </c>
      <c r="F28" s="17"/>
      <c r="G28" s="29">
        <f>IF(SUM(F$4:F28)&gt;G$1,0,F28*(G$2/G$1))</f>
        <v>0</v>
      </c>
      <c r="H28" s="17"/>
      <c r="I28" s="29">
        <f>IF(SUM(H$4:H28)&gt;I$1,0,H28*(I$2/I$1))</f>
        <v>0</v>
      </c>
      <c r="J28" s="22"/>
      <c r="K28" s="4"/>
      <c r="L28" s="5" t="str">
        <f t="shared" si="0"/>
        <v>休</v>
      </c>
      <c r="M28" s="6" t="str">
        <f t="shared" si="1"/>
        <v/>
      </c>
      <c r="N28" s="3"/>
      <c r="O28" s="4"/>
      <c r="P28" s="5" t="str">
        <f t="shared" si="18"/>
        <v>休</v>
      </c>
      <c r="Q28" s="6" t="str">
        <f t="shared" si="2"/>
        <v/>
      </c>
      <c r="R28" s="3"/>
      <c r="S28" s="4"/>
      <c r="T28" s="5" t="str">
        <f t="shared" si="19"/>
        <v>休</v>
      </c>
      <c r="U28" s="6" t="str">
        <f t="shared" si="3"/>
        <v/>
      </c>
      <c r="V28" s="3"/>
      <c r="W28" s="4"/>
      <c r="X28" s="5" t="str">
        <f t="shared" si="20"/>
        <v>休</v>
      </c>
      <c r="Y28" s="6" t="str">
        <f t="shared" si="4"/>
        <v/>
      </c>
      <c r="Z28" s="3"/>
      <c r="AA28" s="4"/>
      <c r="AB28" s="5" t="str">
        <f t="shared" si="21"/>
        <v>休</v>
      </c>
      <c r="AC28" s="6" t="str">
        <f t="shared" si="5"/>
        <v/>
      </c>
      <c r="AD28" s="3"/>
      <c r="AE28" s="4"/>
      <c r="AF28" s="5" t="str">
        <f t="shared" si="22"/>
        <v>休</v>
      </c>
      <c r="AG28" s="6" t="str">
        <f t="shared" si="6"/>
        <v/>
      </c>
      <c r="AH28" s="3"/>
      <c r="AI28" s="4"/>
      <c r="AJ28" s="5" t="str">
        <f t="shared" si="23"/>
        <v>休</v>
      </c>
      <c r="AK28" s="6" t="str">
        <f t="shared" si="7"/>
        <v/>
      </c>
      <c r="AL28" s="3"/>
      <c r="AM28" s="4"/>
      <c r="AN28" s="5" t="str">
        <f t="shared" si="24"/>
        <v>休</v>
      </c>
      <c r="AO28" s="6" t="str">
        <f t="shared" si="8"/>
        <v/>
      </c>
      <c r="AP28" s="3"/>
      <c r="AQ28" s="4"/>
      <c r="AR28" s="5" t="str">
        <f t="shared" si="25"/>
        <v>休</v>
      </c>
      <c r="AS28" s="6" t="str">
        <f t="shared" si="9"/>
        <v/>
      </c>
      <c r="AT28" s="3"/>
      <c r="AU28" s="4"/>
      <c r="AV28" s="5" t="str">
        <f t="shared" si="26"/>
        <v>休</v>
      </c>
      <c r="AW28" s="6" t="str">
        <f t="shared" si="10"/>
        <v/>
      </c>
      <c r="AX28" s="3"/>
      <c r="AY28" s="4"/>
      <c r="AZ28" s="5" t="str">
        <f t="shared" si="27"/>
        <v>休</v>
      </c>
      <c r="BA28" s="6" t="str">
        <f t="shared" si="11"/>
        <v/>
      </c>
      <c r="BB28" s="3"/>
      <c r="BC28" s="4"/>
      <c r="BD28" s="5" t="str">
        <f t="shared" si="28"/>
        <v>休</v>
      </c>
      <c r="BE28" s="6" t="str">
        <f t="shared" si="12"/>
        <v/>
      </c>
      <c r="BF28" s="3"/>
      <c r="BG28" s="4"/>
      <c r="BH28" s="5" t="str">
        <f t="shared" si="29"/>
        <v>休</v>
      </c>
      <c r="BI28" s="6" t="str">
        <f t="shared" si="13"/>
        <v/>
      </c>
      <c r="BJ28" s="3"/>
      <c r="BK28" s="4"/>
      <c r="BL28" s="5" t="str">
        <f t="shared" si="30"/>
        <v>休</v>
      </c>
      <c r="BM28" s="6" t="str">
        <f t="shared" si="14"/>
        <v/>
      </c>
      <c r="BN28" s="3"/>
      <c r="BO28" s="4"/>
      <c r="BP28" s="5" t="str">
        <f t="shared" si="31"/>
        <v>休</v>
      </c>
      <c r="BQ28" s="6" t="str">
        <f t="shared" si="15"/>
        <v/>
      </c>
      <c r="BR28" s="3"/>
      <c r="BS28" s="4"/>
      <c r="BT28" s="5" t="str">
        <f t="shared" si="32"/>
        <v>休</v>
      </c>
      <c r="BU28" s="6" t="str">
        <f t="shared" si="16"/>
        <v/>
      </c>
      <c r="BW28" s="16">
        <f t="shared" si="33"/>
        <v>0</v>
      </c>
      <c r="BX28" s="16">
        <f t="shared" si="34"/>
        <v>13881002.435064932</v>
      </c>
      <c r="BY28" s="12"/>
    </row>
    <row r="29" spans="1:77">
      <c r="A29" s="1">
        <f t="shared" si="35"/>
        <v>44983</v>
      </c>
      <c r="B29" s="15"/>
      <c r="C29" s="16">
        <f t="shared" si="17"/>
        <v>0</v>
      </c>
      <c r="D29" s="17"/>
      <c r="E29" s="16">
        <f t="shared" si="17"/>
        <v>0</v>
      </c>
      <c r="F29" s="17"/>
      <c r="G29" s="29">
        <f>IF(SUM(F$4:F29)&gt;G$1,0,F29*(G$2/G$1))</f>
        <v>0</v>
      </c>
      <c r="H29" s="17"/>
      <c r="I29" s="29">
        <f>IF(SUM(H$4:H29)&gt;I$1,0,H29*(I$2/I$1))</f>
        <v>0</v>
      </c>
      <c r="J29" s="22"/>
      <c r="K29" s="4"/>
      <c r="L29" s="5" t="str">
        <f t="shared" si="0"/>
        <v>休</v>
      </c>
      <c r="M29" s="6" t="str">
        <f t="shared" si="1"/>
        <v/>
      </c>
      <c r="N29" s="3"/>
      <c r="O29" s="4"/>
      <c r="P29" s="5" t="str">
        <f t="shared" si="18"/>
        <v>休</v>
      </c>
      <c r="Q29" s="6" t="str">
        <f t="shared" si="2"/>
        <v/>
      </c>
      <c r="R29" s="3"/>
      <c r="S29" s="4"/>
      <c r="T29" s="5" t="str">
        <f t="shared" si="19"/>
        <v>休</v>
      </c>
      <c r="U29" s="6" t="str">
        <f t="shared" si="3"/>
        <v/>
      </c>
      <c r="V29" s="3"/>
      <c r="W29" s="4"/>
      <c r="X29" s="5" t="str">
        <f t="shared" si="20"/>
        <v>休</v>
      </c>
      <c r="Y29" s="6" t="str">
        <f t="shared" si="4"/>
        <v/>
      </c>
      <c r="Z29" s="3"/>
      <c r="AA29" s="4"/>
      <c r="AB29" s="5" t="str">
        <f t="shared" si="21"/>
        <v>休</v>
      </c>
      <c r="AC29" s="6" t="str">
        <f t="shared" si="5"/>
        <v/>
      </c>
      <c r="AD29" s="3"/>
      <c r="AE29" s="4"/>
      <c r="AF29" s="5" t="str">
        <f t="shared" si="22"/>
        <v>休</v>
      </c>
      <c r="AG29" s="6" t="str">
        <f t="shared" si="6"/>
        <v/>
      </c>
      <c r="AH29" s="3"/>
      <c r="AI29" s="4"/>
      <c r="AJ29" s="5" t="str">
        <f t="shared" si="23"/>
        <v>休</v>
      </c>
      <c r="AK29" s="6" t="str">
        <f t="shared" si="7"/>
        <v/>
      </c>
      <c r="AL29" s="3"/>
      <c r="AM29" s="4"/>
      <c r="AN29" s="5" t="str">
        <f t="shared" si="24"/>
        <v>休</v>
      </c>
      <c r="AO29" s="6" t="str">
        <f t="shared" si="8"/>
        <v/>
      </c>
      <c r="AP29" s="3"/>
      <c r="AQ29" s="4"/>
      <c r="AR29" s="5" t="str">
        <f t="shared" si="25"/>
        <v>休</v>
      </c>
      <c r="AS29" s="6" t="str">
        <f t="shared" si="9"/>
        <v/>
      </c>
      <c r="AT29" s="3"/>
      <c r="AU29" s="4"/>
      <c r="AV29" s="5" t="str">
        <f t="shared" si="26"/>
        <v>休</v>
      </c>
      <c r="AW29" s="6" t="str">
        <f t="shared" si="10"/>
        <v/>
      </c>
      <c r="AX29" s="3"/>
      <c r="AY29" s="4"/>
      <c r="AZ29" s="5" t="str">
        <f t="shared" si="27"/>
        <v>休</v>
      </c>
      <c r="BA29" s="6" t="str">
        <f t="shared" si="11"/>
        <v/>
      </c>
      <c r="BB29" s="3"/>
      <c r="BC29" s="4"/>
      <c r="BD29" s="5" t="str">
        <f t="shared" si="28"/>
        <v>休</v>
      </c>
      <c r="BE29" s="6" t="str">
        <f t="shared" si="12"/>
        <v/>
      </c>
      <c r="BF29" s="3"/>
      <c r="BG29" s="4"/>
      <c r="BH29" s="5" t="str">
        <f t="shared" si="29"/>
        <v>休</v>
      </c>
      <c r="BI29" s="6" t="str">
        <f t="shared" si="13"/>
        <v/>
      </c>
      <c r="BJ29" s="3"/>
      <c r="BK29" s="4"/>
      <c r="BL29" s="5" t="str">
        <f t="shared" si="30"/>
        <v>休</v>
      </c>
      <c r="BM29" s="6" t="str">
        <f t="shared" si="14"/>
        <v/>
      </c>
      <c r="BN29" s="3"/>
      <c r="BO29" s="4"/>
      <c r="BP29" s="5" t="str">
        <f t="shared" si="31"/>
        <v>休</v>
      </c>
      <c r="BQ29" s="6" t="str">
        <f t="shared" si="15"/>
        <v/>
      </c>
      <c r="BR29" s="3"/>
      <c r="BS29" s="4"/>
      <c r="BT29" s="5" t="str">
        <f t="shared" si="32"/>
        <v>休</v>
      </c>
      <c r="BU29" s="6" t="str">
        <f t="shared" si="16"/>
        <v/>
      </c>
      <c r="BW29" s="16">
        <f t="shared" si="33"/>
        <v>0</v>
      </c>
      <c r="BX29" s="16">
        <f t="shared" si="34"/>
        <v>13881002.435064932</v>
      </c>
      <c r="BY29" s="12"/>
    </row>
    <row r="30" spans="1:77">
      <c r="A30" s="1">
        <f t="shared" si="35"/>
        <v>44984</v>
      </c>
      <c r="B30" s="15"/>
      <c r="C30" s="16">
        <f t="shared" si="17"/>
        <v>0</v>
      </c>
      <c r="D30" s="17"/>
      <c r="E30" s="16">
        <f t="shared" si="17"/>
        <v>0</v>
      </c>
      <c r="F30" s="17"/>
      <c r="G30" s="29">
        <f>IF(SUM(F$4:F30)&gt;G$1,0,F30*(G$2/G$1))</f>
        <v>0</v>
      </c>
      <c r="H30" s="17"/>
      <c r="I30" s="29">
        <f>IF(SUM(H$4:H30)&gt;I$1,0,H30*(I$2/I$1))</f>
        <v>0</v>
      </c>
      <c r="J30" s="22"/>
      <c r="K30" s="4"/>
      <c r="L30" s="5" t="str">
        <f t="shared" si="0"/>
        <v>休</v>
      </c>
      <c r="M30" s="6" t="str">
        <f t="shared" si="1"/>
        <v/>
      </c>
      <c r="N30" s="3"/>
      <c r="O30" s="4"/>
      <c r="P30" s="5" t="str">
        <f t="shared" si="18"/>
        <v>休</v>
      </c>
      <c r="Q30" s="6" t="str">
        <f t="shared" si="2"/>
        <v/>
      </c>
      <c r="R30" s="3"/>
      <c r="S30" s="4"/>
      <c r="T30" s="5" t="str">
        <f t="shared" si="19"/>
        <v>休</v>
      </c>
      <c r="U30" s="6" t="str">
        <f t="shared" si="3"/>
        <v/>
      </c>
      <c r="V30" s="3"/>
      <c r="W30" s="4"/>
      <c r="X30" s="5" t="str">
        <f t="shared" si="20"/>
        <v>休</v>
      </c>
      <c r="Y30" s="6" t="str">
        <f t="shared" si="4"/>
        <v/>
      </c>
      <c r="Z30" s="3"/>
      <c r="AA30" s="4"/>
      <c r="AB30" s="5" t="str">
        <f t="shared" si="21"/>
        <v>休</v>
      </c>
      <c r="AC30" s="6" t="str">
        <f t="shared" si="5"/>
        <v/>
      </c>
      <c r="AD30" s="3"/>
      <c r="AE30" s="4"/>
      <c r="AF30" s="5" t="str">
        <f t="shared" si="22"/>
        <v>休</v>
      </c>
      <c r="AG30" s="6" t="str">
        <f t="shared" si="6"/>
        <v/>
      </c>
      <c r="AH30" s="3"/>
      <c r="AI30" s="4"/>
      <c r="AJ30" s="5" t="str">
        <f t="shared" si="23"/>
        <v>休</v>
      </c>
      <c r="AK30" s="6" t="str">
        <f t="shared" si="7"/>
        <v/>
      </c>
      <c r="AL30" s="3"/>
      <c r="AM30" s="4"/>
      <c r="AN30" s="5" t="str">
        <f t="shared" si="24"/>
        <v>休</v>
      </c>
      <c r="AO30" s="6" t="str">
        <f t="shared" si="8"/>
        <v/>
      </c>
      <c r="AP30" s="3"/>
      <c r="AQ30" s="4"/>
      <c r="AR30" s="5" t="str">
        <f t="shared" si="25"/>
        <v>休</v>
      </c>
      <c r="AS30" s="6" t="str">
        <f t="shared" si="9"/>
        <v/>
      </c>
      <c r="AT30" s="3"/>
      <c r="AU30" s="4"/>
      <c r="AV30" s="5" t="str">
        <f t="shared" si="26"/>
        <v>休</v>
      </c>
      <c r="AW30" s="6" t="str">
        <f t="shared" si="10"/>
        <v/>
      </c>
      <c r="AX30" s="3"/>
      <c r="AY30" s="4"/>
      <c r="AZ30" s="5" t="str">
        <f t="shared" si="27"/>
        <v>休</v>
      </c>
      <c r="BA30" s="6" t="str">
        <f t="shared" si="11"/>
        <v/>
      </c>
      <c r="BB30" s="3"/>
      <c r="BC30" s="4"/>
      <c r="BD30" s="5" t="str">
        <f t="shared" si="28"/>
        <v>休</v>
      </c>
      <c r="BE30" s="6" t="str">
        <f t="shared" si="12"/>
        <v/>
      </c>
      <c r="BF30" s="3"/>
      <c r="BG30" s="4"/>
      <c r="BH30" s="5" t="str">
        <f t="shared" si="29"/>
        <v>休</v>
      </c>
      <c r="BI30" s="6" t="str">
        <f t="shared" si="13"/>
        <v/>
      </c>
      <c r="BJ30" s="3"/>
      <c r="BK30" s="4"/>
      <c r="BL30" s="5" t="str">
        <f t="shared" si="30"/>
        <v>休</v>
      </c>
      <c r="BM30" s="6" t="str">
        <f t="shared" si="14"/>
        <v/>
      </c>
      <c r="BN30" s="3"/>
      <c r="BO30" s="4"/>
      <c r="BP30" s="5" t="str">
        <f t="shared" si="31"/>
        <v>休</v>
      </c>
      <c r="BQ30" s="6" t="str">
        <f t="shared" si="15"/>
        <v/>
      </c>
      <c r="BR30" s="3"/>
      <c r="BS30" s="4"/>
      <c r="BT30" s="5" t="str">
        <f t="shared" si="32"/>
        <v>休</v>
      </c>
      <c r="BU30" s="6" t="str">
        <f t="shared" si="16"/>
        <v/>
      </c>
      <c r="BW30" s="16">
        <f t="shared" si="33"/>
        <v>0</v>
      </c>
      <c r="BX30" s="16">
        <f t="shared" si="34"/>
        <v>13881002.435064932</v>
      </c>
      <c r="BY30" s="12"/>
    </row>
    <row r="31" spans="1:77">
      <c r="A31" s="1">
        <f t="shared" si="35"/>
        <v>44985</v>
      </c>
      <c r="B31" s="15"/>
      <c r="C31" s="16">
        <f t="shared" si="17"/>
        <v>0</v>
      </c>
      <c r="D31" s="17"/>
      <c r="E31" s="16">
        <f t="shared" si="17"/>
        <v>0</v>
      </c>
      <c r="F31" s="17"/>
      <c r="G31" s="29">
        <f>IF(SUM(F$4:F31)&gt;G$1,0,F31*(G$2/G$1))</f>
        <v>0</v>
      </c>
      <c r="H31" s="17"/>
      <c r="I31" s="29">
        <f>IF(SUM(H$4:H31)&gt;I$1,0,H31*(I$2/I$1))</f>
        <v>0</v>
      </c>
      <c r="J31" s="22"/>
      <c r="K31" s="4"/>
      <c r="L31" s="5" t="str">
        <f t="shared" si="0"/>
        <v>休</v>
      </c>
      <c r="M31" s="6" t="str">
        <f t="shared" si="1"/>
        <v/>
      </c>
      <c r="N31" s="3"/>
      <c r="O31" s="4"/>
      <c r="P31" s="5" t="str">
        <f t="shared" si="18"/>
        <v>休</v>
      </c>
      <c r="Q31" s="6" t="str">
        <f t="shared" si="2"/>
        <v/>
      </c>
      <c r="R31" s="3"/>
      <c r="S31" s="4"/>
      <c r="T31" s="5" t="str">
        <f t="shared" si="19"/>
        <v>休</v>
      </c>
      <c r="U31" s="6" t="str">
        <f t="shared" si="3"/>
        <v/>
      </c>
      <c r="V31" s="3"/>
      <c r="W31" s="4"/>
      <c r="X31" s="5" t="str">
        <f t="shared" si="20"/>
        <v>休</v>
      </c>
      <c r="Y31" s="6" t="str">
        <f t="shared" si="4"/>
        <v/>
      </c>
      <c r="Z31" s="3"/>
      <c r="AA31" s="4"/>
      <c r="AB31" s="5" t="str">
        <f t="shared" si="21"/>
        <v>休</v>
      </c>
      <c r="AC31" s="6" t="str">
        <f t="shared" si="5"/>
        <v/>
      </c>
      <c r="AD31" s="3"/>
      <c r="AE31" s="4"/>
      <c r="AF31" s="5" t="str">
        <f t="shared" si="22"/>
        <v>休</v>
      </c>
      <c r="AG31" s="6" t="str">
        <f t="shared" si="6"/>
        <v/>
      </c>
      <c r="AH31" s="3"/>
      <c r="AI31" s="4"/>
      <c r="AJ31" s="5" t="str">
        <f t="shared" si="23"/>
        <v>休</v>
      </c>
      <c r="AK31" s="6" t="str">
        <f t="shared" si="7"/>
        <v/>
      </c>
      <c r="AL31" s="3"/>
      <c r="AM31" s="4"/>
      <c r="AN31" s="5" t="str">
        <f t="shared" si="24"/>
        <v>休</v>
      </c>
      <c r="AO31" s="6" t="str">
        <f t="shared" si="8"/>
        <v/>
      </c>
      <c r="AP31" s="3"/>
      <c r="AQ31" s="4"/>
      <c r="AR31" s="5" t="str">
        <f t="shared" si="25"/>
        <v>休</v>
      </c>
      <c r="AS31" s="6" t="str">
        <f t="shared" si="9"/>
        <v/>
      </c>
      <c r="AT31" s="3"/>
      <c r="AU31" s="4"/>
      <c r="AV31" s="5" t="str">
        <f t="shared" si="26"/>
        <v>休</v>
      </c>
      <c r="AW31" s="6" t="str">
        <f t="shared" si="10"/>
        <v/>
      </c>
      <c r="AX31" s="3"/>
      <c r="AY31" s="4"/>
      <c r="AZ31" s="5" t="str">
        <f t="shared" si="27"/>
        <v>休</v>
      </c>
      <c r="BA31" s="6" t="str">
        <f t="shared" si="11"/>
        <v/>
      </c>
      <c r="BB31" s="3"/>
      <c r="BC31" s="4"/>
      <c r="BD31" s="5" t="str">
        <f t="shared" si="28"/>
        <v>休</v>
      </c>
      <c r="BE31" s="6" t="str">
        <f t="shared" si="12"/>
        <v/>
      </c>
      <c r="BF31" s="3"/>
      <c r="BG31" s="4"/>
      <c r="BH31" s="5" t="str">
        <f t="shared" si="29"/>
        <v>休</v>
      </c>
      <c r="BI31" s="6" t="str">
        <f t="shared" si="13"/>
        <v/>
      </c>
      <c r="BJ31" s="3"/>
      <c r="BK31" s="4"/>
      <c r="BL31" s="5" t="str">
        <f t="shared" si="30"/>
        <v>休</v>
      </c>
      <c r="BM31" s="6" t="str">
        <f t="shared" si="14"/>
        <v/>
      </c>
      <c r="BN31" s="3"/>
      <c r="BO31" s="4"/>
      <c r="BP31" s="5" t="str">
        <f t="shared" si="31"/>
        <v>休</v>
      </c>
      <c r="BQ31" s="6" t="str">
        <f t="shared" si="15"/>
        <v/>
      </c>
      <c r="BR31" s="3"/>
      <c r="BS31" s="4"/>
      <c r="BT31" s="5" t="str">
        <f t="shared" si="32"/>
        <v>休</v>
      </c>
      <c r="BU31" s="6" t="str">
        <f t="shared" si="16"/>
        <v/>
      </c>
      <c r="BW31" s="16">
        <f t="shared" si="33"/>
        <v>0</v>
      </c>
      <c r="BX31" s="16">
        <f t="shared" si="34"/>
        <v>13881002.435064932</v>
      </c>
      <c r="BY31" s="12"/>
    </row>
    <row r="32" spans="1:77">
      <c r="A32" s="1" t="str">
        <f>IFERROR(IF($A31+1 &lt;= EOMONTH($A$4,0),$A31+1,""),"")</f>
        <v/>
      </c>
      <c r="B32" s="15"/>
      <c r="C32" s="16">
        <f t="shared" si="17"/>
        <v>0</v>
      </c>
      <c r="D32" s="17"/>
      <c r="E32" s="16">
        <f t="shared" si="17"/>
        <v>0</v>
      </c>
      <c r="F32" s="17"/>
      <c r="G32" s="29">
        <f>IF(SUM(F$4:F32)&gt;G$1,0,F32*(G$2/G$1))</f>
        <v>0</v>
      </c>
      <c r="H32" s="17"/>
      <c r="I32" s="29">
        <f>IF(SUM(H$4:H32)&gt;I$1,0,H32*(I$2/I$1))</f>
        <v>0</v>
      </c>
      <c r="J32" s="22"/>
      <c r="K32" s="4"/>
      <c r="L32" s="5" t="str">
        <f t="shared" si="0"/>
        <v>休</v>
      </c>
      <c r="M32" s="6" t="str">
        <f t="shared" si="1"/>
        <v/>
      </c>
      <c r="N32" s="3"/>
      <c r="O32" s="4"/>
      <c r="P32" s="5" t="str">
        <f t="shared" si="18"/>
        <v>休</v>
      </c>
      <c r="Q32" s="6" t="str">
        <f t="shared" si="2"/>
        <v/>
      </c>
      <c r="R32" s="3"/>
      <c r="S32" s="4"/>
      <c r="T32" s="5" t="str">
        <f t="shared" si="19"/>
        <v>休</v>
      </c>
      <c r="U32" s="6" t="str">
        <f t="shared" si="3"/>
        <v/>
      </c>
      <c r="V32" s="3"/>
      <c r="W32" s="4"/>
      <c r="X32" s="5" t="str">
        <f t="shared" si="20"/>
        <v>休</v>
      </c>
      <c r="Y32" s="6" t="str">
        <f t="shared" si="4"/>
        <v/>
      </c>
      <c r="Z32" s="3"/>
      <c r="AA32" s="4"/>
      <c r="AB32" s="5" t="str">
        <f t="shared" si="21"/>
        <v>休</v>
      </c>
      <c r="AC32" s="6" t="str">
        <f t="shared" si="5"/>
        <v/>
      </c>
      <c r="AD32" s="3"/>
      <c r="AE32" s="4"/>
      <c r="AF32" s="5" t="str">
        <f t="shared" si="22"/>
        <v>休</v>
      </c>
      <c r="AG32" s="6" t="str">
        <f t="shared" si="6"/>
        <v/>
      </c>
      <c r="AH32" s="3"/>
      <c r="AI32" s="4"/>
      <c r="AJ32" s="5" t="str">
        <f t="shared" si="23"/>
        <v>休</v>
      </c>
      <c r="AK32" s="6" t="str">
        <f t="shared" si="7"/>
        <v/>
      </c>
      <c r="AL32" s="3"/>
      <c r="AM32" s="4"/>
      <c r="AN32" s="5" t="str">
        <f t="shared" si="24"/>
        <v>休</v>
      </c>
      <c r="AO32" s="6" t="str">
        <f t="shared" si="8"/>
        <v/>
      </c>
      <c r="AP32" s="3"/>
      <c r="AQ32" s="4"/>
      <c r="AR32" s="5" t="str">
        <f t="shared" si="25"/>
        <v>休</v>
      </c>
      <c r="AS32" s="6" t="str">
        <f t="shared" si="9"/>
        <v/>
      </c>
      <c r="AT32" s="3"/>
      <c r="AU32" s="4"/>
      <c r="AV32" s="5" t="str">
        <f t="shared" si="26"/>
        <v>休</v>
      </c>
      <c r="AW32" s="6" t="str">
        <f t="shared" si="10"/>
        <v/>
      </c>
      <c r="AX32" s="3"/>
      <c r="AY32" s="4"/>
      <c r="AZ32" s="5" t="str">
        <f t="shared" si="27"/>
        <v>休</v>
      </c>
      <c r="BA32" s="6" t="str">
        <f t="shared" si="11"/>
        <v/>
      </c>
      <c r="BB32" s="3"/>
      <c r="BC32" s="4"/>
      <c r="BD32" s="5" t="str">
        <f t="shared" si="28"/>
        <v>休</v>
      </c>
      <c r="BE32" s="6" t="str">
        <f t="shared" si="12"/>
        <v/>
      </c>
      <c r="BF32" s="3"/>
      <c r="BG32" s="4"/>
      <c r="BH32" s="5" t="str">
        <f t="shared" si="29"/>
        <v>休</v>
      </c>
      <c r="BI32" s="6" t="str">
        <f t="shared" si="13"/>
        <v/>
      </c>
      <c r="BJ32" s="3"/>
      <c r="BK32" s="4"/>
      <c r="BL32" s="5" t="str">
        <f t="shared" si="30"/>
        <v>休</v>
      </c>
      <c r="BM32" s="6" t="str">
        <f t="shared" si="14"/>
        <v/>
      </c>
      <c r="BN32" s="3"/>
      <c r="BO32" s="4"/>
      <c r="BP32" s="5" t="str">
        <f t="shared" si="31"/>
        <v>休</v>
      </c>
      <c r="BQ32" s="6" t="str">
        <f t="shared" si="15"/>
        <v/>
      </c>
      <c r="BR32" s="3"/>
      <c r="BS32" s="4"/>
      <c r="BT32" s="5" t="str">
        <f t="shared" si="32"/>
        <v>休</v>
      </c>
      <c r="BU32" s="6" t="str">
        <f t="shared" si="16"/>
        <v/>
      </c>
      <c r="BW32" s="16">
        <f t="shared" si="33"/>
        <v>0</v>
      </c>
      <c r="BX32" s="16">
        <f t="shared" si="34"/>
        <v>13881002.435064932</v>
      </c>
      <c r="BY32" s="12"/>
    </row>
    <row r="33" spans="1:77 16384:16384">
      <c r="A33" s="1" t="str">
        <f>IFERROR(IF($A32+1 &lt;= EOMONTH($A$4,0),$A32+1,""),"")</f>
        <v/>
      </c>
      <c r="B33" s="15"/>
      <c r="C33" s="16">
        <f t="shared" si="17"/>
        <v>0</v>
      </c>
      <c r="D33" s="17"/>
      <c r="E33" s="16">
        <f t="shared" si="17"/>
        <v>0</v>
      </c>
      <c r="F33" s="17"/>
      <c r="G33" s="29">
        <f>IF(SUM(F$4:F33)&gt;G$1,0,F33*(G$2/G$1))</f>
        <v>0</v>
      </c>
      <c r="H33" s="17"/>
      <c r="I33" s="29">
        <f>IF(SUM(H$4:H33)&gt;I$1,0,H33*(I$2/I$1))</f>
        <v>0</v>
      </c>
      <c r="J33" s="22"/>
      <c r="K33" s="4"/>
      <c r="L33" s="5" t="str">
        <f t="shared" si="0"/>
        <v>休</v>
      </c>
      <c r="M33" s="6" t="str">
        <f t="shared" si="1"/>
        <v/>
      </c>
      <c r="N33" s="3"/>
      <c r="O33" s="4"/>
      <c r="P33" s="5" t="str">
        <f t="shared" si="18"/>
        <v>休</v>
      </c>
      <c r="Q33" s="6" t="str">
        <f t="shared" si="2"/>
        <v/>
      </c>
      <c r="R33" s="3"/>
      <c r="S33" s="4"/>
      <c r="T33" s="5" t="str">
        <f t="shared" si="19"/>
        <v>休</v>
      </c>
      <c r="U33" s="6" t="str">
        <f t="shared" si="3"/>
        <v/>
      </c>
      <c r="V33" s="3"/>
      <c r="W33" s="4"/>
      <c r="X33" s="5" t="str">
        <f t="shared" si="20"/>
        <v>休</v>
      </c>
      <c r="Y33" s="6" t="str">
        <f t="shared" si="4"/>
        <v/>
      </c>
      <c r="Z33" s="3"/>
      <c r="AA33" s="4"/>
      <c r="AB33" s="5" t="str">
        <f t="shared" si="21"/>
        <v>休</v>
      </c>
      <c r="AC33" s="6" t="str">
        <f t="shared" si="5"/>
        <v/>
      </c>
      <c r="AD33" s="3"/>
      <c r="AE33" s="4"/>
      <c r="AF33" s="5" t="str">
        <f t="shared" si="22"/>
        <v>休</v>
      </c>
      <c r="AG33" s="6" t="str">
        <f t="shared" si="6"/>
        <v/>
      </c>
      <c r="AH33" s="3"/>
      <c r="AI33" s="4"/>
      <c r="AJ33" s="5" t="str">
        <f t="shared" si="23"/>
        <v>休</v>
      </c>
      <c r="AK33" s="6" t="str">
        <f t="shared" si="7"/>
        <v/>
      </c>
      <c r="AL33" s="3"/>
      <c r="AM33" s="4"/>
      <c r="AN33" s="5" t="str">
        <f t="shared" si="24"/>
        <v>休</v>
      </c>
      <c r="AO33" s="6" t="str">
        <f t="shared" si="8"/>
        <v/>
      </c>
      <c r="AP33" s="3"/>
      <c r="AQ33" s="4"/>
      <c r="AR33" s="5" t="str">
        <f t="shared" si="25"/>
        <v>休</v>
      </c>
      <c r="AS33" s="6" t="str">
        <f t="shared" si="9"/>
        <v/>
      </c>
      <c r="AT33" s="3"/>
      <c r="AU33" s="4"/>
      <c r="AV33" s="5" t="str">
        <f t="shared" si="26"/>
        <v>休</v>
      </c>
      <c r="AW33" s="6" t="str">
        <f t="shared" si="10"/>
        <v/>
      </c>
      <c r="AX33" s="3"/>
      <c r="AY33" s="4"/>
      <c r="AZ33" s="5" t="str">
        <f t="shared" si="27"/>
        <v>休</v>
      </c>
      <c r="BA33" s="6" t="str">
        <f t="shared" si="11"/>
        <v/>
      </c>
      <c r="BB33" s="3"/>
      <c r="BC33" s="4"/>
      <c r="BD33" s="5" t="str">
        <f t="shared" si="28"/>
        <v>休</v>
      </c>
      <c r="BE33" s="6" t="str">
        <f t="shared" si="12"/>
        <v/>
      </c>
      <c r="BF33" s="3"/>
      <c r="BG33" s="4"/>
      <c r="BH33" s="5" t="str">
        <f t="shared" si="29"/>
        <v>休</v>
      </c>
      <c r="BI33" s="6" t="str">
        <f t="shared" si="13"/>
        <v/>
      </c>
      <c r="BJ33" s="3"/>
      <c r="BK33" s="4"/>
      <c r="BL33" s="5" t="str">
        <f t="shared" si="30"/>
        <v>休</v>
      </c>
      <c r="BM33" s="6" t="str">
        <f t="shared" si="14"/>
        <v/>
      </c>
      <c r="BN33" s="3"/>
      <c r="BO33" s="4"/>
      <c r="BP33" s="5" t="str">
        <f t="shared" si="31"/>
        <v>休</v>
      </c>
      <c r="BQ33" s="6" t="str">
        <f t="shared" si="15"/>
        <v/>
      </c>
      <c r="BR33" s="3"/>
      <c r="BS33" s="4"/>
      <c r="BT33" s="5" t="str">
        <f t="shared" si="32"/>
        <v>休</v>
      </c>
      <c r="BU33" s="6" t="str">
        <f t="shared" si="16"/>
        <v/>
      </c>
      <c r="BW33" s="16">
        <f t="shared" si="33"/>
        <v>0</v>
      </c>
      <c r="BX33" s="16">
        <f t="shared" si="34"/>
        <v>13881002.435064932</v>
      </c>
      <c r="BY33" s="12"/>
    </row>
    <row r="34" spans="1:77 16384:16384">
      <c r="A34" s="1" t="str">
        <f>IFERROR(IF($A33+1 &lt;= EOMONTH($A$4,0),$A33+1,""),"")</f>
        <v/>
      </c>
      <c r="B34" s="15"/>
      <c r="C34" s="16">
        <f t="shared" si="17"/>
        <v>0</v>
      </c>
      <c r="D34" s="17"/>
      <c r="E34" s="16">
        <f t="shared" si="17"/>
        <v>0</v>
      </c>
      <c r="F34" s="17"/>
      <c r="G34" s="29">
        <f>IF(SUM(F$4:F34)&gt;G$1,0,F34*(G$2/G$1))</f>
        <v>0</v>
      </c>
      <c r="H34" s="17"/>
      <c r="I34" s="29">
        <f>IF(SUM(H$4:H34)&gt;I$1,0,H34*(I$2/I$1))</f>
        <v>0</v>
      </c>
      <c r="J34" s="22"/>
      <c r="K34" s="4"/>
      <c r="L34" s="5" t="str">
        <f t="shared" si="0"/>
        <v>休</v>
      </c>
      <c r="M34" s="6" t="str">
        <f t="shared" si="1"/>
        <v/>
      </c>
      <c r="N34" s="3"/>
      <c r="O34" s="4"/>
      <c r="P34" s="5" t="str">
        <f t="shared" si="18"/>
        <v>休</v>
      </c>
      <c r="Q34" s="6" t="str">
        <f t="shared" si="2"/>
        <v/>
      </c>
      <c r="R34" s="3"/>
      <c r="S34" s="4"/>
      <c r="T34" s="5" t="str">
        <f t="shared" si="19"/>
        <v>休</v>
      </c>
      <c r="U34" s="6" t="str">
        <f t="shared" si="3"/>
        <v/>
      </c>
      <c r="V34" s="3"/>
      <c r="W34" s="4"/>
      <c r="X34" s="5" t="str">
        <f t="shared" si="20"/>
        <v>休</v>
      </c>
      <c r="Y34" s="6" t="str">
        <f t="shared" si="4"/>
        <v/>
      </c>
      <c r="Z34" s="3"/>
      <c r="AA34" s="4"/>
      <c r="AB34" s="5" t="str">
        <f t="shared" si="21"/>
        <v>休</v>
      </c>
      <c r="AC34" s="6" t="str">
        <f t="shared" si="5"/>
        <v/>
      </c>
      <c r="AD34" s="3"/>
      <c r="AE34" s="4"/>
      <c r="AF34" s="5" t="str">
        <f t="shared" si="22"/>
        <v>休</v>
      </c>
      <c r="AG34" s="6" t="str">
        <f t="shared" si="6"/>
        <v/>
      </c>
      <c r="AH34" s="3"/>
      <c r="AI34" s="4"/>
      <c r="AJ34" s="5" t="str">
        <f t="shared" si="23"/>
        <v>休</v>
      </c>
      <c r="AK34" s="6" t="str">
        <f t="shared" si="7"/>
        <v/>
      </c>
      <c r="AL34" s="3"/>
      <c r="AM34" s="4"/>
      <c r="AN34" s="5" t="str">
        <f t="shared" si="24"/>
        <v>休</v>
      </c>
      <c r="AO34" s="6" t="str">
        <f t="shared" si="8"/>
        <v/>
      </c>
      <c r="AP34" s="3"/>
      <c r="AQ34" s="4"/>
      <c r="AR34" s="5" t="str">
        <f t="shared" si="25"/>
        <v>休</v>
      </c>
      <c r="AS34" s="6" t="str">
        <f t="shared" si="9"/>
        <v/>
      </c>
      <c r="AT34" s="3"/>
      <c r="AU34" s="4"/>
      <c r="AV34" s="5" t="str">
        <f t="shared" si="26"/>
        <v>休</v>
      </c>
      <c r="AW34" s="6" t="str">
        <f t="shared" si="10"/>
        <v/>
      </c>
      <c r="AX34" s="3"/>
      <c r="AY34" s="4"/>
      <c r="AZ34" s="5" t="str">
        <f t="shared" si="27"/>
        <v>休</v>
      </c>
      <c r="BA34" s="6" t="str">
        <f t="shared" si="11"/>
        <v/>
      </c>
      <c r="BB34" s="3"/>
      <c r="BC34" s="4"/>
      <c r="BD34" s="5" t="str">
        <f t="shared" si="28"/>
        <v>休</v>
      </c>
      <c r="BE34" s="6" t="str">
        <f t="shared" si="12"/>
        <v/>
      </c>
      <c r="BF34" s="3"/>
      <c r="BG34" s="4"/>
      <c r="BH34" s="5" t="str">
        <f t="shared" si="29"/>
        <v>休</v>
      </c>
      <c r="BI34" s="6" t="str">
        <f t="shared" si="13"/>
        <v/>
      </c>
      <c r="BJ34" s="3"/>
      <c r="BK34" s="4"/>
      <c r="BL34" s="5" t="str">
        <f t="shared" si="30"/>
        <v>休</v>
      </c>
      <c r="BM34" s="6" t="str">
        <f t="shared" si="14"/>
        <v/>
      </c>
      <c r="BN34" s="3"/>
      <c r="BO34" s="4"/>
      <c r="BP34" s="5" t="str">
        <f t="shared" si="31"/>
        <v>休</v>
      </c>
      <c r="BQ34" s="6" t="str">
        <f t="shared" si="15"/>
        <v/>
      </c>
      <c r="BR34" s="3"/>
      <c r="BS34" s="4"/>
      <c r="BT34" s="5" t="str">
        <f t="shared" si="32"/>
        <v>休</v>
      </c>
      <c r="BU34" s="6" t="str">
        <f t="shared" si="16"/>
        <v/>
      </c>
      <c r="BW34" s="16">
        <f t="shared" si="33"/>
        <v>0</v>
      </c>
      <c r="BX34" s="16">
        <f t="shared" si="34"/>
        <v>13881002.435064932</v>
      </c>
      <c r="BY34" s="12"/>
    </row>
    <row r="35" spans="1:77 16384:16384">
      <c r="A35" s="1" t="s">
        <v>4</v>
      </c>
      <c r="B35" s="31">
        <f>SUM(B4:B34)</f>
        <v>19</v>
      </c>
      <c r="C35" s="31"/>
      <c r="D35" s="31">
        <f>SUM(D4:D34)</f>
        <v>13</v>
      </c>
      <c r="E35" s="31"/>
      <c r="F35" s="31">
        <f>SUM(F4:F34)</f>
        <v>0</v>
      </c>
      <c r="G35" s="31"/>
      <c r="H35" s="31">
        <f>SUM(H4:H34)</f>
        <v>0</v>
      </c>
      <c r="I35" s="31"/>
      <c r="L35">
        <f>SUM(L4:L34)</f>
        <v>72</v>
      </c>
      <c r="P35">
        <f>SUM(P4:P34)</f>
        <v>27.999999999999989</v>
      </c>
      <c r="T35">
        <f>SUM(T4:T34)</f>
        <v>35</v>
      </c>
      <c r="X35">
        <f>SUM(X4:X34)</f>
        <v>27.499999999999993</v>
      </c>
      <c r="AB35">
        <f>SUM(AB4:AB34)</f>
        <v>23.999999999999996</v>
      </c>
      <c r="AF35">
        <f>SUM(AF4:AF34)</f>
        <v>27.999999999999993</v>
      </c>
      <c r="AJ35">
        <f>SUM(AJ4:AJ34)</f>
        <v>16.000000000000004</v>
      </c>
      <c r="AN35">
        <f>SUM(AN4:AN34)</f>
        <v>3.5000000000000009</v>
      </c>
      <c r="AR35">
        <f>SUM(AR4:AR34)</f>
        <v>39</v>
      </c>
      <c r="AV35">
        <f>SUM(AV4:AV34)</f>
        <v>0</v>
      </c>
      <c r="AZ35">
        <f>SUM(AZ4:AZ34)</f>
        <v>0</v>
      </c>
      <c r="BD35">
        <f>SUM(BD4:BD34)</f>
        <v>0</v>
      </c>
      <c r="BH35">
        <f>SUM(BH4:BH34)</f>
        <v>0</v>
      </c>
      <c r="BL35">
        <f>SUM(BL4:BL34)</f>
        <v>0</v>
      </c>
      <c r="BP35">
        <f>SUM(BP4:BP34)</f>
        <v>0</v>
      </c>
      <c r="BT35">
        <f>SUM(BT4:BT34)</f>
        <v>0</v>
      </c>
      <c r="BW35" s="25">
        <f>(SUMIF($B$3:$BV$3,"당일 급여",B35:BV35)+IFERROR(#REF!*#REF!/100,0))*0.967</f>
        <v>0</v>
      </c>
      <c r="BX35" s="25">
        <f t="shared" si="34"/>
        <v>13881002.435064932</v>
      </c>
      <c r="BY35" s="12"/>
    </row>
    <row r="36" spans="1:77 16384:16384" s="2" customFormat="1">
      <c r="A36" s="2" t="s">
        <v>5</v>
      </c>
      <c r="C36" s="2">
        <f>SUM(C4:C34)</f>
        <v>2035714.2857142847</v>
      </c>
      <c r="E36" s="2">
        <f>SUM(E4:E34)</f>
        <v>1067857.142857143</v>
      </c>
      <c r="G36" s="2">
        <f>SUM(G4:G34)</f>
        <v>0</v>
      </c>
      <c r="I36" s="2">
        <f>SUM(I4:I34)</f>
        <v>0</v>
      </c>
      <c r="M36" s="2">
        <f>L35*M2</f>
        <v>3163636.3636363633</v>
      </c>
      <c r="Q36" s="2">
        <f>P35*Q2</f>
        <v>1399999.9999999995</v>
      </c>
      <c r="U36" s="2">
        <f>T35*U2</f>
        <v>1295000</v>
      </c>
      <c r="Y36" s="2">
        <f>X35*Y2</f>
        <v>907499.99999999977</v>
      </c>
      <c r="AC36" s="2">
        <f>AB35*AC2</f>
        <v>1079999.9999999998</v>
      </c>
      <c r="AG36" s="2">
        <f>AF35*AG2</f>
        <v>1259999.9999999998</v>
      </c>
      <c r="AK36" s="2">
        <f>AJ35*AK2</f>
        <v>800000.00000000023</v>
      </c>
      <c r="AO36" s="2">
        <f>AN35*AO2</f>
        <v>175000.00000000006</v>
      </c>
      <c r="AS36" s="2">
        <f>AR35*AS2</f>
        <v>1170000</v>
      </c>
      <c r="AW36" s="2">
        <f>AV35*AW2</f>
        <v>0</v>
      </c>
      <c r="BA36" s="2">
        <f>AZ35*BA2</f>
        <v>0</v>
      </c>
      <c r="BE36" s="2">
        <f>BD35*BE2</f>
        <v>0</v>
      </c>
      <c r="BI36" s="2">
        <f>BH35*BI2</f>
        <v>0</v>
      </c>
      <c r="BM36" s="2">
        <f>BL35*BM2</f>
        <v>0</v>
      </c>
      <c r="BQ36" s="2">
        <f>BP35*BQ2</f>
        <v>0</v>
      </c>
      <c r="BU36" s="2">
        <f>BT35*BU2</f>
        <v>0</v>
      </c>
      <c r="BV36"/>
    </row>
    <row r="37" spans="1:77 16384:16384" s="2" customFormat="1">
      <c r="A37" s="2" t="s">
        <v>6</v>
      </c>
      <c r="E37" s="2">
        <v>0</v>
      </c>
      <c r="G37" s="2" t="str">
        <f>IFERROR(HLOOKUP(F2,직원인센!$A$2:$L$35,34,FALSE),"")</f>
        <v/>
      </c>
      <c r="I37" s="2" t="str">
        <f>IFERROR(HLOOKUP(H2,직원인센!$A$2:$L$35,34,FALSE),"")</f>
        <v/>
      </c>
      <c r="J37" s="13">
        <f>_xlfn.IFNA(HLOOKUP(J2,파트인센!$C$32:$AC$36,5,FALSE),0)</f>
        <v>75.45</v>
      </c>
      <c r="M37" s="2">
        <f>J37*10000</f>
        <v>754500</v>
      </c>
      <c r="N37" s="13">
        <f>_xlfn.IFNA(HLOOKUP(N2,파트인센!$C$32:$AC$36,5,FALSE),0)</f>
        <v>19.5</v>
      </c>
      <c r="Q37" s="2">
        <f>N37*10000</f>
        <v>195000</v>
      </c>
      <c r="R37" s="13">
        <f>_xlfn.IFNA(HLOOKUP(R2,파트인센!$C$32:$AC$36,5,FALSE),0)</f>
        <v>12</v>
      </c>
      <c r="U37" s="2">
        <f>R37*10000</f>
        <v>120000</v>
      </c>
      <c r="V37" s="13">
        <f>_xlfn.IFNA(HLOOKUP(V2,파트인센!$C$32:$AC$36,5,FALSE),0)</f>
        <v>11.9</v>
      </c>
      <c r="Y37" s="2">
        <f>V37*10000</f>
        <v>119000</v>
      </c>
      <c r="Z37" s="13">
        <f>_xlfn.IFNA(HLOOKUP(Z2,파트인센!$C$32:$AC$36,5,FALSE),0)</f>
        <v>11.5</v>
      </c>
      <c r="AC37" s="2">
        <f>Z37*10000</f>
        <v>115000</v>
      </c>
      <c r="AD37" s="13">
        <f>_xlfn.IFNA(HLOOKUP(AD2,파트인센!$C$32:$AC$36,5,FALSE),0)</f>
        <v>1.5</v>
      </c>
      <c r="AG37" s="2">
        <f>AD37*10000</f>
        <v>15000</v>
      </c>
      <c r="AH37" s="13">
        <f>_xlfn.IFNA(HLOOKUP(AH2,파트인센!$C$32:$AC$36,5,FALSE),0)</f>
        <v>2</v>
      </c>
      <c r="AK37" s="2">
        <f>AH37*10000</f>
        <v>20000</v>
      </c>
      <c r="AL37" s="13">
        <f>_xlfn.IFNA(HLOOKUP(AL2,파트인센!$C$32:$AC$36,5,FALSE),0)</f>
        <v>0.5</v>
      </c>
      <c r="AO37" s="2">
        <f>AL37*10000</f>
        <v>5000</v>
      </c>
      <c r="AP37" s="13">
        <f>_xlfn.IFNA(HLOOKUP(AP2,파트인센!$C$32:$AC$36,5,FALSE),0)</f>
        <v>0</v>
      </c>
      <c r="AS37" s="2">
        <f>AP37*10000</f>
        <v>0</v>
      </c>
      <c r="AT37" s="13">
        <f>_xlfn.IFNA(HLOOKUP(AT2,파트인센!$C$32:$AC$36,5,FALSE),0)</f>
        <v>0</v>
      </c>
      <c r="AW37" s="2">
        <f>AT37*10000</f>
        <v>0</v>
      </c>
      <c r="AX37" s="13">
        <f>_xlfn.IFNA(HLOOKUP(AX2,파트인센!$C$32:$AC$36,5,FALSE),0)</f>
        <v>0</v>
      </c>
      <c r="BA37" s="2">
        <f>AX37*10000</f>
        <v>0</v>
      </c>
      <c r="BB37" s="13">
        <f>_xlfn.IFNA(HLOOKUP(BB2,파트인센!$C$32:$AC$36,5,FALSE),0)</f>
        <v>0</v>
      </c>
      <c r="BE37" s="2">
        <f>BB37*10000</f>
        <v>0</v>
      </c>
      <c r="BF37" s="13">
        <f>_xlfn.IFNA(HLOOKUP(BF2,파트인센!$C$32:$AC$36,5,FALSE),0)</f>
        <v>0</v>
      </c>
      <c r="BI37" s="2">
        <f>BF37*10000</f>
        <v>0</v>
      </c>
      <c r="BJ37" s="13">
        <f>_xlfn.IFNA(HLOOKUP(BJ2,파트인센!$C$32:$AC$36,5,FALSE),0)</f>
        <v>0</v>
      </c>
      <c r="BM37" s="2">
        <f>BJ37*10000</f>
        <v>0</v>
      </c>
      <c r="BN37" s="13">
        <f>_xlfn.IFNA(HLOOKUP(BN2,파트인센!$C$32:$AC$36,5,FALSE),0)</f>
        <v>0</v>
      </c>
      <c r="BQ37" s="2">
        <f>BN37*10000</f>
        <v>0</v>
      </c>
      <c r="BR37" s="13">
        <f>_xlfn.IFNA(HLOOKUP(BR2,파트인센!$C$32:$AC$36,5,FALSE),0)</f>
        <v>0</v>
      </c>
      <c r="BU37" s="2">
        <f>BR37*10000</f>
        <v>0</v>
      </c>
      <c r="BV37"/>
      <c r="XFD37" s="13"/>
    </row>
    <row r="38" spans="1:77 16384:16384" s="2" customFormat="1">
      <c r="A38" s="2" t="s">
        <v>8</v>
      </c>
      <c r="C38" s="2">
        <f>(C36+C37)*0.033</f>
        <v>67178.571428571406</v>
      </c>
      <c r="E38" s="2">
        <f>(E36+E37)*0.033</f>
        <v>35239.285714285717</v>
      </c>
      <c r="G38" s="2" t="str">
        <f>IFERROR((G36+G37)*0.033,"")</f>
        <v/>
      </c>
      <c r="I38" s="2" t="str">
        <f>IFERROR((I36+I37)*0.033,"")</f>
        <v/>
      </c>
      <c r="M38" s="2">
        <f>SUM(M36:M37)*0.033</f>
        <v>129298.5</v>
      </c>
      <c r="Q38" s="2">
        <f>SUM(Q36:Q37)*0.033</f>
        <v>52634.999999999985</v>
      </c>
      <c r="U38" s="2">
        <f>SUM(U36:U37)*0.033</f>
        <v>46695</v>
      </c>
      <c r="Y38" s="2">
        <f>SUM(Y36:Y37)*0.033</f>
        <v>33874.499999999993</v>
      </c>
      <c r="AC38" s="2">
        <f>SUM(AC36:AC37)*0.033</f>
        <v>39434.999999999993</v>
      </c>
      <c r="AG38" s="2">
        <f>SUM(AG36:AG37)*0.033</f>
        <v>42074.999999999993</v>
      </c>
      <c r="AK38" s="2">
        <f>SUM(AK36:AK37)*0.033</f>
        <v>27060.000000000007</v>
      </c>
      <c r="AO38" s="2">
        <f>SUM(AO36:AO37)*0.033</f>
        <v>5940.0000000000018</v>
      </c>
      <c r="AS38" s="2">
        <f>SUM(AS36:AS37)*0.033</f>
        <v>38610</v>
      </c>
      <c r="AW38" s="2">
        <f>SUM(AW36:AW37)*0.033</f>
        <v>0</v>
      </c>
      <c r="BA38" s="2">
        <f>SUM(BA36:BA37)*0.033</f>
        <v>0</v>
      </c>
      <c r="BE38" s="2">
        <f>SUM(BE36:BE37)*0.033</f>
        <v>0</v>
      </c>
      <c r="BI38" s="2">
        <f>SUM(BI36:BI37)*0.033</f>
        <v>0</v>
      </c>
      <c r="BM38" s="2">
        <f>SUM(BM36:BM37)*0.033</f>
        <v>0</v>
      </c>
      <c r="BQ38" s="2">
        <f>SUM(BQ36:BQ37)*0.033</f>
        <v>0</v>
      </c>
      <c r="BU38" s="2">
        <f>SUM(BU36:BU37)*0.033</f>
        <v>0</v>
      </c>
      <c r="BV38"/>
    </row>
    <row r="39" spans="1:77 16384:16384">
      <c r="A39" s="10" t="s">
        <v>7</v>
      </c>
      <c r="B39" s="10"/>
      <c r="C39" s="11">
        <f>INT((C36+C37-C38)/100)*100</f>
        <v>1968500</v>
      </c>
      <c r="D39" s="10"/>
      <c r="E39" s="11">
        <f>INT((E36+E37-E38)/100)*100</f>
        <v>1032600</v>
      </c>
      <c r="F39" s="10"/>
      <c r="G39" s="11" t="str">
        <f>IFERROR(INT((G36+G37-G38)/100)*100,"")</f>
        <v/>
      </c>
      <c r="H39" s="10"/>
      <c r="I39" s="11" t="str">
        <f>IFERROR(INT((I36+I37-I38)/100)*100,"")</f>
        <v/>
      </c>
      <c r="J39" s="10"/>
      <c r="K39" s="10"/>
      <c r="L39" s="10"/>
      <c r="M39" s="11">
        <f>INT((SUM(M36:M37)-M38)/100)*100</f>
        <v>3788800</v>
      </c>
      <c r="N39" s="10"/>
      <c r="O39" s="10"/>
      <c r="P39" s="10"/>
      <c r="Q39" s="11">
        <f>INT((SUM(Q36:Q37)-Q38)/100)*100</f>
        <v>1542300</v>
      </c>
      <c r="R39" s="10"/>
      <c r="S39" s="10"/>
      <c r="T39" s="10"/>
      <c r="U39" s="11">
        <f>INT((SUM(U36:U37)-U38)/100)*100</f>
        <v>1368300</v>
      </c>
      <c r="V39" s="10"/>
      <c r="W39" s="10"/>
      <c r="X39" s="10"/>
      <c r="Y39" s="11">
        <f>INT((SUM(Y36:Y37)-Y38)/100)*100</f>
        <v>992600</v>
      </c>
      <c r="Z39" s="10"/>
      <c r="AA39" s="10"/>
      <c r="AB39" s="10"/>
      <c r="AC39" s="11">
        <f>INT((SUM(AC36:AC37)-AC38)/100)*100</f>
        <v>1155500</v>
      </c>
      <c r="AD39" s="10"/>
      <c r="AE39" s="10"/>
      <c r="AF39" s="10"/>
      <c r="AG39" s="11">
        <f>INT((SUM(AG36:AG37)-AG38)/100)*100</f>
        <v>1232900</v>
      </c>
      <c r="AH39" s="10"/>
      <c r="AI39" s="10"/>
      <c r="AJ39" s="10"/>
      <c r="AK39" s="11">
        <f>INT((SUM(AK36:AK37)-AK38)/100)*100</f>
        <v>792900</v>
      </c>
      <c r="AL39" s="10"/>
      <c r="AM39" s="10"/>
      <c r="AN39" s="10"/>
      <c r="AO39" s="11">
        <f>INT((SUM(AO36:AO37)-AO38)/100)*100</f>
        <v>174000</v>
      </c>
      <c r="AP39" s="10"/>
      <c r="AQ39" s="10"/>
      <c r="AR39" s="10"/>
      <c r="AS39" s="11">
        <f>INT((SUM(AS36:AS37)-AS38)/100)*100</f>
        <v>1131300</v>
      </c>
      <c r="AT39" s="10"/>
      <c r="AU39" s="10"/>
      <c r="AV39" s="10"/>
      <c r="AW39" s="11">
        <f>INT((SUM(AW36:AW37)-AW38)/100)*100</f>
        <v>0</v>
      </c>
      <c r="AX39" s="10"/>
      <c r="AY39" s="10"/>
      <c r="AZ39" s="10"/>
      <c r="BA39" s="11">
        <f>INT((SUM(BA36:BA37)-BA38)/100)*100</f>
        <v>0</v>
      </c>
      <c r="BB39" s="10"/>
      <c r="BC39" s="10"/>
      <c r="BD39" s="10"/>
      <c r="BE39" s="11">
        <f>INT((SUM(BE36:BE37)-BE38)/100)*100</f>
        <v>0</v>
      </c>
      <c r="BF39" s="10"/>
      <c r="BG39" s="10"/>
      <c r="BH39" s="10"/>
      <c r="BI39" s="11">
        <f>INT((SUM(BI36:BI37)-BI38)/100)*100</f>
        <v>0</v>
      </c>
      <c r="BJ39" s="10"/>
      <c r="BK39" s="10"/>
      <c r="BL39" s="10"/>
      <c r="BM39" s="11">
        <f>INT((SUM(BM36:BM37)-BM38)/100)*100</f>
        <v>0</v>
      </c>
      <c r="BN39" s="10"/>
      <c r="BO39" s="10"/>
      <c r="BP39" s="10"/>
      <c r="BQ39" s="11">
        <f>INT((SUM(BQ36:BQ37)-BQ38)/100)*100</f>
        <v>0</v>
      </c>
      <c r="BR39" s="10"/>
      <c r="BS39" s="10"/>
      <c r="BT39" s="10"/>
      <c r="BU39" s="11">
        <f>INT((SUM(BU36:BU37)-BU38)/100)*100</f>
        <v>0</v>
      </c>
      <c r="BW39" s="12"/>
      <c r="BX39" s="12"/>
      <c r="BY39" s="12"/>
    </row>
    <row r="40" spans="1:77 16384:16384" s="2" customFormat="1">
      <c r="M40" s="2">
        <f>J37*$A$41</f>
        <v>0</v>
      </c>
      <c r="Q40" s="2">
        <f>N37*$A$41</f>
        <v>0</v>
      </c>
      <c r="U40" s="2">
        <f>R37*$A$41</f>
        <v>0</v>
      </c>
      <c r="Y40" s="2">
        <f>V37*$A$41</f>
        <v>0</v>
      </c>
      <c r="AC40" s="2">
        <f>Z37*$A$41</f>
        <v>0</v>
      </c>
      <c r="AG40" s="2">
        <f>AD37*$A$41</f>
        <v>0</v>
      </c>
      <c r="AK40" s="2">
        <f>AH37*$A$41</f>
        <v>0</v>
      </c>
      <c r="AO40" s="2">
        <f>AL37*$A$41</f>
        <v>0</v>
      </c>
      <c r="AS40" s="2">
        <f>AP37*$A$41</f>
        <v>0</v>
      </c>
      <c r="AW40" s="2">
        <f>AT37*$A$41</f>
        <v>0</v>
      </c>
      <c r="BA40" s="2">
        <f>AX37*$A$41</f>
        <v>0</v>
      </c>
      <c r="BE40" s="2">
        <f>BB37*$A$41</f>
        <v>0</v>
      </c>
      <c r="BI40" s="2">
        <f>BF37*$A$41</f>
        <v>0</v>
      </c>
      <c r="BM40" s="2">
        <f>BJ37*$A$41</f>
        <v>0</v>
      </c>
      <c r="BQ40" s="2">
        <f>BN37*$A$41</f>
        <v>0</v>
      </c>
      <c r="BU40" s="2">
        <f>BR37*$A$41</f>
        <v>0</v>
      </c>
      <c r="BV40"/>
    </row>
    <row r="41" spans="1:77 16384:16384">
      <c r="A41" s="2"/>
      <c r="AL41" s="2"/>
      <c r="AP41" s="2"/>
      <c r="BJ41" s="2"/>
      <c r="BY41" s="2"/>
    </row>
    <row r="42" spans="1:77 16384:16384">
      <c r="BY42" s="2"/>
    </row>
    <row r="43" spans="1:77 16384:16384">
      <c r="BY43" s="2"/>
    </row>
    <row r="44" spans="1:77 16384:16384">
      <c r="BY44" s="2"/>
    </row>
    <row r="45" spans="1:77 16384:16384">
      <c r="BY45" s="2"/>
    </row>
    <row r="46" spans="1:77 16384:16384">
      <c r="BY46" s="2"/>
    </row>
    <row r="47" spans="1:77 16384:16384">
      <c r="BY47" s="2"/>
    </row>
    <row r="48" spans="1:77 16384:16384">
      <c r="BY48" s="2"/>
    </row>
    <row r="49" spans="12:77">
      <c r="BY49" s="2"/>
    </row>
    <row r="50" spans="12:77">
      <c r="L50" s="12"/>
      <c r="BY50" s="2"/>
    </row>
    <row r="51" spans="12:77">
      <c r="BY51" s="2"/>
    </row>
    <row r="52" spans="12:77">
      <c r="BY52" s="2"/>
    </row>
    <row r="53" spans="12:77">
      <c r="BY53" s="2"/>
    </row>
    <row r="54" spans="12:77">
      <c r="BY54" s="2"/>
    </row>
    <row r="55" spans="12:77">
      <c r="BY55" s="2"/>
    </row>
  </sheetData>
  <phoneticPr fontId="1" type="noConversion"/>
  <conditionalFormatting sqref="M40 Q40 U40 AC40">
    <cfRule type="cellIs" dxfId="20" priority="25" operator="greaterThan">
      <formula>M39</formula>
    </cfRule>
  </conditionalFormatting>
  <conditionalFormatting sqref="AW40">
    <cfRule type="cellIs" dxfId="19" priority="22" operator="greaterThan">
      <formula>AW39</formula>
    </cfRule>
  </conditionalFormatting>
  <conditionalFormatting sqref="BA40">
    <cfRule type="cellIs" dxfId="18" priority="21" operator="greaterThan">
      <formula>BA39</formula>
    </cfRule>
  </conditionalFormatting>
  <conditionalFormatting sqref="AS40">
    <cfRule type="cellIs" dxfId="17" priority="18" operator="greaterThan">
      <formula>AS39</formula>
    </cfRule>
  </conditionalFormatting>
  <conditionalFormatting sqref="BM40">
    <cfRule type="cellIs" dxfId="16" priority="17" operator="greaterThan">
      <formula>BM39</formula>
    </cfRule>
  </conditionalFormatting>
  <conditionalFormatting sqref="A4:AK34 AP4:BX34">
    <cfRule type="expression" dxfId="15" priority="13">
      <formula>WEEKDAY($A4,1)=$C$1</formula>
    </cfRule>
    <cfRule type="expression" dxfId="14" priority="14">
      <formula>WEEKDAY($A4,1)=$B$1</formula>
    </cfRule>
  </conditionalFormatting>
  <conditionalFormatting sqref="AO40">
    <cfRule type="cellIs" dxfId="13" priority="6" operator="greaterThan">
      <formula>AO39</formula>
    </cfRule>
  </conditionalFormatting>
  <conditionalFormatting sqref="AL12:AO34 AN4:AO11">
    <cfRule type="expression" dxfId="12" priority="4">
      <formula>WEEKDAY($A4,1)=$C$1</formula>
    </cfRule>
    <cfRule type="expression" dxfId="11" priority="5">
      <formula>WEEKDAY($A4,1)=$B$1</formula>
    </cfRule>
  </conditionalFormatting>
  <conditionalFormatting sqref="AL4:AM11">
    <cfRule type="expression" dxfId="10" priority="2">
      <formula>WEEKDAY($A4,1)=$C$1</formula>
    </cfRule>
    <cfRule type="expression" dxfId="9" priority="3">
      <formula>WEEKDAY($A4,1)=$B$1</formula>
    </cfRule>
  </conditionalFormatting>
  <conditionalFormatting sqref="Y40">
    <cfRule type="cellIs" dxfId="8" priority="1" operator="greaterThan">
      <formula>Y39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Q35"/>
  <sheetViews>
    <sheetView view="pageBreakPreview" topLeftCell="A10" zoomScaleNormal="70" zoomScaleSheetLayoutView="100" workbookViewId="0">
      <selection activeCell="C3" sqref="C3"/>
    </sheetView>
  </sheetViews>
  <sheetFormatPr defaultRowHeight="16.5"/>
  <cols>
    <col min="1" max="1" width="9.75" customWidth="1"/>
    <col min="2" max="2" width="5.25" customWidth="1"/>
    <col min="3" max="3" width="11" bestFit="1" customWidth="1"/>
    <col min="4" max="4" width="16.5" style="2" customWidth="1"/>
    <col min="5" max="5" width="3.75" customWidth="1"/>
    <col min="6" max="6" width="18.875" customWidth="1"/>
    <col min="7" max="7" width="19.625" style="65" customWidth="1"/>
    <col min="8" max="8" width="4.625" style="66" customWidth="1"/>
    <col min="9" max="9" width="17" style="66" customWidth="1"/>
    <col min="10" max="10" width="16.375" style="67" customWidth="1"/>
    <col min="11" max="11" width="1.75" customWidth="1"/>
    <col min="12" max="12" width="10.125" style="12" customWidth="1"/>
    <col min="13" max="13" width="5.625" customWidth="1"/>
    <col min="14" max="14" width="3.125" customWidth="1"/>
    <col min="15" max="15" width="10.125" style="12" customWidth="1"/>
    <col min="16" max="16" width="5.625" customWidth="1"/>
  </cols>
  <sheetData>
    <row r="1" spans="1:17" ht="17.25" thickBot="1">
      <c r="B1">
        <v>1</v>
      </c>
      <c r="C1">
        <v>7</v>
      </c>
    </row>
    <row r="2" spans="1:17">
      <c r="A2" s="70"/>
      <c r="B2" s="79"/>
      <c r="C2" s="80">
        <v>10</v>
      </c>
      <c r="D2" s="81" t="s">
        <v>49</v>
      </c>
      <c r="E2" s="79"/>
      <c r="F2" s="80"/>
      <c r="G2" s="81"/>
      <c r="H2" s="79"/>
      <c r="I2" s="80"/>
      <c r="J2" s="81"/>
      <c r="K2" s="70"/>
      <c r="L2" s="70"/>
      <c r="M2" s="70"/>
      <c r="N2" s="70"/>
      <c r="O2" s="70"/>
      <c r="P2" s="70"/>
    </row>
    <row r="3" spans="1:17">
      <c r="A3" s="78" t="s">
        <v>30</v>
      </c>
      <c r="B3" s="53" t="s">
        <v>46</v>
      </c>
      <c r="C3" s="54" t="s">
        <v>34</v>
      </c>
      <c r="D3" s="55" t="s">
        <v>41</v>
      </c>
      <c r="E3" s="53" t="s">
        <v>46</v>
      </c>
      <c r="F3" s="54" t="s">
        <v>34</v>
      </c>
      <c r="G3" s="55" t="s">
        <v>41</v>
      </c>
      <c r="H3" s="53" t="s">
        <v>46</v>
      </c>
      <c r="I3" s="54" t="s">
        <v>34</v>
      </c>
      <c r="J3" s="55" t="s">
        <v>41</v>
      </c>
      <c r="K3" s="69"/>
      <c r="L3" s="73" t="s">
        <v>38</v>
      </c>
      <c r="M3" s="74"/>
      <c r="N3" s="68"/>
      <c r="O3" s="73"/>
      <c r="P3" s="74"/>
      <c r="Q3" s="56"/>
    </row>
    <row r="4" spans="1:17">
      <c r="A4" s="1">
        <f>'출퇴근 및 급여'!A4</f>
        <v>44958</v>
      </c>
      <c r="B4" s="82">
        <v>3</v>
      </c>
      <c r="C4" s="77"/>
      <c r="D4" s="32">
        <f>C4*C$2*0.01</f>
        <v>0</v>
      </c>
      <c r="E4" s="82">
        <v>1</v>
      </c>
      <c r="F4" s="77"/>
      <c r="G4" s="32">
        <f>F4*F$2*0.01</f>
        <v>0</v>
      </c>
      <c r="H4" s="82"/>
      <c r="I4" s="60"/>
      <c r="J4" s="32">
        <f>I4*I$2*0.01</f>
        <v>0</v>
      </c>
      <c r="K4" s="75"/>
      <c r="L4" s="58">
        <f t="shared" ref="L4:L34" si="0">SUMIF($A$3:$K$3,"인센",A4:K4)</f>
        <v>0</v>
      </c>
      <c r="M4" s="59"/>
      <c r="N4" s="57"/>
      <c r="O4" s="58"/>
      <c r="P4" s="59"/>
    </row>
    <row r="5" spans="1:17" ht="15.95" customHeight="1">
      <c r="A5" s="1">
        <f>'출퇴근 및 급여'!A5</f>
        <v>44959</v>
      </c>
      <c r="B5" s="82">
        <v>2</v>
      </c>
      <c r="C5" s="77"/>
      <c r="D5" s="32">
        <f t="shared" ref="D5:D34" si="1">C5*C$2*0.01</f>
        <v>0</v>
      </c>
      <c r="E5" s="82">
        <v>1</v>
      </c>
      <c r="F5" s="77"/>
      <c r="G5" s="32">
        <f t="shared" ref="G5:G34" si="2">F5*F$2*0.01</f>
        <v>0</v>
      </c>
      <c r="H5" s="82"/>
      <c r="I5" s="60"/>
      <c r="J5" s="32">
        <f t="shared" ref="J5:J34" si="3">I5*I$2*0.01</f>
        <v>0</v>
      </c>
      <c r="K5" s="75"/>
      <c r="L5" s="58">
        <f t="shared" si="0"/>
        <v>0</v>
      </c>
      <c r="M5" s="59"/>
      <c r="N5" s="57"/>
      <c r="O5" s="58"/>
      <c r="P5" s="59"/>
    </row>
    <row r="6" spans="1:17" ht="15.95" customHeight="1">
      <c r="A6" s="1">
        <f>'출퇴근 및 급여'!A6</f>
        <v>44960</v>
      </c>
      <c r="B6" s="82">
        <v>3</v>
      </c>
      <c r="C6" s="77"/>
      <c r="D6" s="32">
        <f t="shared" si="1"/>
        <v>0</v>
      </c>
      <c r="E6" s="82">
        <v>1</v>
      </c>
      <c r="F6" s="77"/>
      <c r="G6" s="32">
        <f t="shared" si="2"/>
        <v>0</v>
      </c>
      <c r="H6" s="82"/>
      <c r="I6" s="60"/>
      <c r="J6" s="32">
        <f t="shared" si="3"/>
        <v>0</v>
      </c>
      <c r="K6" s="75"/>
      <c r="L6" s="58">
        <f t="shared" si="0"/>
        <v>0</v>
      </c>
      <c r="M6" s="59"/>
      <c r="N6" s="57"/>
      <c r="O6" s="58"/>
      <c r="P6" s="59"/>
    </row>
    <row r="7" spans="1:17" ht="15.95" customHeight="1">
      <c r="A7" s="1">
        <f>'출퇴근 및 급여'!A7</f>
        <v>44961</v>
      </c>
      <c r="B7" s="82"/>
      <c r="C7" s="77"/>
      <c r="D7" s="32">
        <f t="shared" si="1"/>
        <v>0</v>
      </c>
      <c r="E7" s="82"/>
      <c r="F7" s="77"/>
      <c r="G7" s="32">
        <f t="shared" si="2"/>
        <v>0</v>
      </c>
      <c r="H7" s="82"/>
      <c r="I7" s="60"/>
      <c r="J7" s="32">
        <f t="shared" si="3"/>
        <v>0</v>
      </c>
      <c r="K7" s="75"/>
      <c r="L7" s="58">
        <f t="shared" si="0"/>
        <v>0</v>
      </c>
      <c r="M7" s="59"/>
      <c r="N7" s="57"/>
      <c r="O7" s="58"/>
      <c r="P7" s="59"/>
    </row>
    <row r="8" spans="1:17" ht="15.95" customHeight="1">
      <c r="A8" s="1">
        <f>'출퇴근 및 급여'!A8</f>
        <v>44962</v>
      </c>
      <c r="B8" s="82"/>
      <c r="C8" s="77"/>
      <c r="D8" s="32">
        <f t="shared" si="1"/>
        <v>0</v>
      </c>
      <c r="E8" s="82"/>
      <c r="F8" s="77"/>
      <c r="G8" s="32">
        <f t="shared" si="2"/>
        <v>0</v>
      </c>
      <c r="H8" s="82"/>
      <c r="I8" s="60"/>
      <c r="J8" s="32">
        <f t="shared" si="3"/>
        <v>0</v>
      </c>
      <c r="K8" s="75"/>
      <c r="L8" s="58">
        <f t="shared" si="0"/>
        <v>0</v>
      </c>
      <c r="M8" s="59"/>
      <c r="N8" s="57"/>
      <c r="O8" s="58"/>
      <c r="P8" s="59"/>
    </row>
    <row r="9" spans="1:17" ht="15.95" customHeight="1">
      <c r="A9" s="1">
        <f>'출퇴근 및 급여'!A9</f>
        <v>44963</v>
      </c>
      <c r="B9" s="82"/>
      <c r="C9" s="77"/>
      <c r="D9" s="32">
        <f t="shared" si="1"/>
        <v>0</v>
      </c>
      <c r="E9" s="82"/>
      <c r="F9" s="77"/>
      <c r="G9" s="32">
        <f t="shared" si="2"/>
        <v>0</v>
      </c>
      <c r="H9" s="82"/>
      <c r="I9" s="60"/>
      <c r="J9" s="32">
        <f t="shared" si="3"/>
        <v>0</v>
      </c>
      <c r="K9" s="75"/>
      <c r="L9" s="58">
        <f t="shared" si="0"/>
        <v>0</v>
      </c>
      <c r="M9" s="59"/>
      <c r="N9" s="57"/>
      <c r="O9" s="58"/>
      <c r="P9" s="59"/>
    </row>
    <row r="10" spans="1:17" ht="15.95" customHeight="1">
      <c r="A10" s="1">
        <f>'출퇴근 및 급여'!A10</f>
        <v>44964</v>
      </c>
      <c r="B10" s="82">
        <v>2</v>
      </c>
      <c r="C10" s="77"/>
      <c r="D10" s="32">
        <f t="shared" si="1"/>
        <v>0</v>
      </c>
      <c r="E10" s="82"/>
      <c r="F10" s="77"/>
      <c r="G10" s="32">
        <f t="shared" si="2"/>
        <v>0</v>
      </c>
      <c r="H10" s="82"/>
      <c r="I10" s="60"/>
      <c r="J10" s="32">
        <f t="shared" si="3"/>
        <v>0</v>
      </c>
      <c r="K10" s="75"/>
      <c r="L10" s="58">
        <f t="shared" si="0"/>
        <v>0</v>
      </c>
      <c r="M10" s="59"/>
      <c r="N10" s="57"/>
      <c r="O10" s="58"/>
      <c r="P10" s="59"/>
    </row>
    <row r="11" spans="1:17" ht="15.95" customHeight="1">
      <c r="A11" s="1">
        <f>'출퇴근 및 급여'!A11</f>
        <v>44965</v>
      </c>
      <c r="B11" s="82"/>
      <c r="C11" s="77"/>
      <c r="D11" s="32">
        <f t="shared" si="1"/>
        <v>0</v>
      </c>
      <c r="E11" s="82"/>
      <c r="F11" s="77"/>
      <c r="G11" s="32">
        <f t="shared" si="2"/>
        <v>0</v>
      </c>
      <c r="H11" s="82"/>
      <c r="I11" s="60"/>
      <c r="J11" s="32">
        <f t="shared" si="3"/>
        <v>0</v>
      </c>
      <c r="K11" s="75"/>
      <c r="L11" s="58">
        <f t="shared" si="0"/>
        <v>0</v>
      </c>
      <c r="M11" s="59"/>
      <c r="N11" s="57"/>
      <c r="O11" s="58"/>
      <c r="P11" s="59"/>
    </row>
    <row r="12" spans="1:17" ht="15.95" customHeight="1">
      <c r="A12" s="1">
        <f>'출퇴근 및 급여'!A12</f>
        <v>44966</v>
      </c>
      <c r="B12" s="82"/>
      <c r="C12" s="77"/>
      <c r="D12" s="32">
        <f t="shared" si="1"/>
        <v>0</v>
      </c>
      <c r="E12" s="82"/>
      <c r="F12" s="77"/>
      <c r="G12" s="32">
        <f t="shared" si="2"/>
        <v>0</v>
      </c>
      <c r="H12" s="82"/>
      <c r="I12" s="60"/>
      <c r="J12" s="32">
        <f t="shared" si="3"/>
        <v>0</v>
      </c>
      <c r="K12" s="75"/>
      <c r="L12" s="58">
        <f t="shared" si="0"/>
        <v>0</v>
      </c>
      <c r="M12" s="59"/>
      <c r="N12" s="57"/>
      <c r="O12" s="58"/>
      <c r="P12" s="59"/>
    </row>
    <row r="13" spans="1:17" ht="15.95" customHeight="1">
      <c r="A13" s="1">
        <f>'출퇴근 및 급여'!A13</f>
        <v>44967</v>
      </c>
      <c r="B13" s="82"/>
      <c r="C13" s="77"/>
      <c r="D13" s="32">
        <f t="shared" si="1"/>
        <v>0</v>
      </c>
      <c r="E13" s="82"/>
      <c r="F13" s="77"/>
      <c r="G13" s="32">
        <f t="shared" si="2"/>
        <v>0</v>
      </c>
      <c r="H13" s="82"/>
      <c r="I13" s="60"/>
      <c r="J13" s="32">
        <f t="shared" si="3"/>
        <v>0</v>
      </c>
      <c r="K13" s="75"/>
      <c r="L13" s="58">
        <f t="shared" si="0"/>
        <v>0</v>
      </c>
      <c r="M13" s="59"/>
      <c r="N13" s="57"/>
      <c r="O13" s="58"/>
      <c r="P13" s="59"/>
    </row>
    <row r="14" spans="1:17" ht="15.95" customHeight="1">
      <c r="A14" s="1">
        <f>'출퇴근 및 급여'!A14</f>
        <v>44968</v>
      </c>
      <c r="B14" s="82"/>
      <c r="C14" s="77"/>
      <c r="D14" s="32">
        <f t="shared" si="1"/>
        <v>0</v>
      </c>
      <c r="E14" s="82"/>
      <c r="F14" s="77"/>
      <c r="G14" s="32">
        <f t="shared" si="2"/>
        <v>0</v>
      </c>
      <c r="H14" s="82"/>
      <c r="I14" s="60"/>
      <c r="J14" s="32">
        <f t="shared" si="3"/>
        <v>0</v>
      </c>
      <c r="K14" s="75"/>
      <c r="L14" s="58">
        <f t="shared" si="0"/>
        <v>0</v>
      </c>
      <c r="M14" s="59"/>
      <c r="N14" s="57"/>
      <c r="O14" s="58"/>
      <c r="P14" s="59"/>
    </row>
    <row r="15" spans="1:17" ht="15.95" customHeight="1">
      <c r="A15" s="1">
        <f>'출퇴근 및 급여'!A15</f>
        <v>44969</v>
      </c>
      <c r="B15" s="82"/>
      <c r="C15" s="77"/>
      <c r="D15" s="32">
        <f t="shared" si="1"/>
        <v>0</v>
      </c>
      <c r="E15" s="82"/>
      <c r="F15" s="77"/>
      <c r="G15" s="32">
        <f t="shared" si="2"/>
        <v>0</v>
      </c>
      <c r="H15" s="82"/>
      <c r="I15" s="60"/>
      <c r="J15" s="32">
        <f t="shared" si="3"/>
        <v>0</v>
      </c>
      <c r="K15" s="75"/>
      <c r="L15" s="58">
        <f t="shared" si="0"/>
        <v>0</v>
      </c>
      <c r="M15" s="59"/>
      <c r="N15" s="57"/>
      <c r="O15" s="58"/>
      <c r="P15" s="59"/>
    </row>
    <row r="16" spans="1:17" ht="15.95" customHeight="1">
      <c r="A16" s="1">
        <f>'출퇴근 및 급여'!A16</f>
        <v>44970</v>
      </c>
      <c r="B16" s="82"/>
      <c r="C16" s="77"/>
      <c r="D16" s="32">
        <f t="shared" si="1"/>
        <v>0</v>
      </c>
      <c r="E16" s="82"/>
      <c r="F16" s="77"/>
      <c r="G16" s="32">
        <f t="shared" si="2"/>
        <v>0</v>
      </c>
      <c r="H16" s="82"/>
      <c r="I16" s="60"/>
      <c r="J16" s="32">
        <f t="shared" si="3"/>
        <v>0</v>
      </c>
      <c r="K16" s="75"/>
      <c r="L16" s="58">
        <f t="shared" si="0"/>
        <v>0</v>
      </c>
      <c r="M16" s="59"/>
      <c r="N16" s="57"/>
      <c r="O16" s="58"/>
      <c r="P16" s="59"/>
    </row>
    <row r="17" spans="1:16" ht="15.95" customHeight="1">
      <c r="A17" s="1">
        <f>'출퇴근 및 급여'!A17</f>
        <v>44971</v>
      </c>
      <c r="B17" s="82"/>
      <c r="C17" s="77"/>
      <c r="D17" s="32">
        <f t="shared" si="1"/>
        <v>0</v>
      </c>
      <c r="E17" s="82"/>
      <c r="F17" s="77"/>
      <c r="G17" s="32">
        <f t="shared" si="2"/>
        <v>0</v>
      </c>
      <c r="H17" s="82"/>
      <c r="I17" s="60"/>
      <c r="J17" s="32">
        <f t="shared" si="3"/>
        <v>0</v>
      </c>
      <c r="K17" s="75"/>
      <c r="L17" s="58">
        <f t="shared" si="0"/>
        <v>0</v>
      </c>
      <c r="M17" s="59"/>
      <c r="N17" s="57"/>
      <c r="O17" s="58"/>
      <c r="P17" s="59"/>
    </row>
    <row r="18" spans="1:16" ht="15.95" customHeight="1">
      <c r="A18" s="1">
        <f>'출퇴근 및 급여'!A18</f>
        <v>44972</v>
      </c>
      <c r="B18" s="82"/>
      <c r="C18" s="77"/>
      <c r="D18" s="32">
        <f t="shared" si="1"/>
        <v>0</v>
      </c>
      <c r="E18" s="82"/>
      <c r="F18" s="77"/>
      <c r="G18" s="32">
        <f t="shared" si="2"/>
        <v>0</v>
      </c>
      <c r="H18" s="82"/>
      <c r="I18" s="60"/>
      <c r="J18" s="32">
        <f t="shared" si="3"/>
        <v>0</v>
      </c>
      <c r="K18" s="75"/>
      <c r="L18" s="58">
        <f t="shared" si="0"/>
        <v>0</v>
      </c>
      <c r="M18" s="59"/>
      <c r="N18" s="57"/>
      <c r="O18" s="58"/>
      <c r="P18" s="59"/>
    </row>
    <row r="19" spans="1:16" ht="15.95" customHeight="1">
      <c r="A19" s="1">
        <f>'출퇴근 및 급여'!A19</f>
        <v>44973</v>
      </c>
      <c r="B19" s="82"/>
      <c r="C19" s="77"/>
      <c r="D19" s="32">
        <f t="shared" si="1"/>
        <v>0</v>
      </c>
      <c r="E19" s="82"/>
      <c r="F19" s="77"/>
      <c r="G19" s="32">
        <f t="shared" si="2"/>
        <v>0</v>
      </c>
      <c r="H19" s="82"/>
      <c r="I19" s="60"/>
      <c r="J19" s="32">
        <f t="shared" si="3"/>
        <v>0</v>
      </c>
      <c r="K19" s="75"/>
      <c r="L19" s="58">
        <f t="shared" si="0"/>
        <v>0</v>
      </c>
      <c r="M19" s="59"/>
      <c r="N19" s="57"/>
      <c r="O19" s="58"/>
      <c r="P19" s="59"/>
    </row>
    <row r="20" spans="1:16" ht="15.95" customHeight="1">
      <c r="A20" s="1">
        <f>'출퇴근 및 급여'!A20</f>
        <v>44974</v>
      </c>
      <c r="B20" s="82"/>
      <c r="C20" s="77"/>
      <c r="D20" s="32">
        <f t="shared" si="1"/>
        <v>0</v>
      </c>
      <c r="E20" s="82"/>
      <c r="F20" s="77"/>
      <c r="G20" s="32">
        <f t="shared" si="2"/>
        <v>0</v>
      </c>
      <c r="H20" s="82"/>
      <c r="I20" s="60"/>
      <c r="J20" s="32">
        <f t="shared" si="3"/>
        <v>0</v>
      </c>
      <c r="K20" s="75"/>
      <c r="L20" s="58">
        <f t="shared" si="0"/>
        <v>0</v>
      </c>
      <c r="M20" s="59"/>
      <c r="N20" s="57"/>
      <c r="O20" s="58"/>
      <c r="P20" s="59"/>
    </row>
    <row r="21" spans="1:16" ht="15.95" customHeight="1">
      <c r="A21" s="1">
        <f>'출퇴근 및 급여'!A21</f>
        <v>44975</v>
      </c>
      <c r="B21" s="82"/>
      <c r="C21" s="77"/>
      <c r="D21" s="32">
        <f t="shared" si="1"/>
        <v>0</v>
      </c>
      <c r="E21" s="82"/>
      <c r="F21" s="77"/>
      <c r="G21" s="32">
        <f t="shared" si="2"/>
        <v>0</v>
      </c>
      <c r="H21" s="82"/>
      <c r="I21" s="60"/>
      <c r="J21" s="32">
        <f t="shared" si="3"/>
        <v>0</v>
      </c>
      <c r="K21" s="75"/>
      <c r="L21" s="58">
        <f t="shared" si="0"/>
        <v>0</v>
      </c>
      <c r="M21" s="59" t="s">
        <v>47</v>
      </c>
      <c r="N21" s="57"/>
      <c r="O21" s="58"/>
      <c r="P21" s="59"/>
    </row>
    <row r="22" spans="1:16" ht="15.95" customHeight="1">
      <c r="A22" s="1">
        <f>'출퇴근 및 급여'!A22</f>
        <v>44976</v>
      </c>
      <c r="B22" s="82"/>
      <c r="C22" s="77"/>
      <c r="D22" s="32">
        <f t="shared" si="1"/>
        <v>0</v>
      </c>
      <c r="E22" s="82"/>
      <c r="F22" s="77"/>
      <c r="G22" s="32">
        <f t="shared" si="2"/>
        <v>0</v>
      </c>
      <c r="H22" s="82"/>
      <c r="I22" s="60"/>
      <c r="J22" s="32">
        <f t="shared" si="3"/>
        <v>0</v>
      </c>
      <c r="K22" s="75"/>
      <c r="L22" s="58">
        <f t="shared" si="0"/>
        <v>0</v>
      </c>
      <c r="M22" s="59"/>
      <c r="N22" s="57"/>
      <c r="O22" s="58"/>
      <c r="P22" s="59"/>
    </row>
    <row r="23" spans="1:16" ht="15.95" customHeight="1">
      <c r="A23" s="1">
        <f>'출퇴근 및 급여'!A23</f>
        <v>44977</v>
      </c>
      <c r="B23" s="82"/>
      <c r="C23" s="77"/>
      <c r="D23" s="32">
        <f t="shared" si="1"/>
        <v>0</v>
      </c>
      <c r="E23" s="82"/>
      <c r="F23" s="77"/>
      <c r="G23" s="32">
        <f t="shared" si="2"/>
        <v>0</v>
      </c>
      <c r="H23" s="82"/>
      <c r="I23" s="60"/>
      <c r="J23" s="32">
        <f t="shared" si="3"/>
        <v>0</v>
      </c>
      <c r="K23" s="75"/>
      <c r="L23" s="58">
        <f t="shared" si="0"/>
        <v>0</v>
      </c>
      <c r="M23" s="59"/>
      <c r="N23" s="57"/>
      <c r="O23" s="58"/>
      <c r="P23" s="59"/>
    </row>
    <row r="24" spans="1:16" ht="15.95" customHeight="1">
      <c r="A24" s="1">
        <f>'출퇴근 및 급여'!A24</f>
        <v>44978</v>
      </c>
      <c r="B24" s="82"/>
      <c r="C24" s="77"/>
      <c r="D24" s="32">
        <f t="shared" si="1"/>
        <v>0</v>
      </c>
      <c r="E24" s="82"/>
      <c r="F24" s="77"/>
      <c r="G24" s="32">
        <f t="shared" si="2"/>
        <v>0</v>
      </c>
      <c r="H24" s="82"/>
      <c r="I24" s="60"/>
      <c r="J24" s="32">
        <f t="shared" si="3"/>
        <v>0</v>
      </c>
      <c r="K24" s="75"/>
      <c r="L24" s="58">
        <f t="shared" si="0"/>
        <v>0</v>
      </c>
      <c r="M24" s="59"/>
      <c r="N24" s="57"/>
      <c r="O24" s="58"/>
      <c r="P24" s="59"/>
    </row>
    <row r="25" spans="1:16" ht="15.95" customHeight="1">
      <c r="A25" s="1">
        <f>'출퇴근 및 급여'!A25</f>
        <v>44979</v>
      </c>
      <c r="B25" s="82"/>
      <c r="C25" s="77"/>
      <c r="D25" s="32">
        <f t="shared" si="1"/>
        <v>0</v>
      </c>
      <c r="E25" s="82"/>
      <c r="F25" s="77"/>
      <c r="G25" s="32">
        <f t="shared" si="2"/>
        <v>0</v>
      </c>
      <c r="H25" s="82"/>
      <c r="I25" s="60"/>
      <c r="J25" s="32">
        <f t="shared" si="3"/>
        <v>0</v>
      </c>
      <c r="K25" s="75"/>
      <c r="L25" s="58">
        <f t="shared" si="0"/>
        <v>0</v>
      </c>
      <c r="M25" s="59"/>
      <c r="N25" s="57"/>
      <c r="O25" s="58"/>
      <c r="P25" s="59"/>
    </row>
    <row r="26" spans="1:16" ht="15.95" customHeight="1">
      <c r="A26" s="1">
        <f>'출퇴근 및 급여'!A26</f>
        <v>44980</v>
      </c>
      <c r="B26" s="82"/>
      <c r="C26" s="77"/>
      <c r="D26" s="32">
        <f t="shared" si="1"/>
        <v>0</v>
      </c>
      <c r="E26" s="82"/>
      <c r="F26" s="77"/>
      <c r="G26" s="32">
        <f t="shared" si="2"/>
        <v>0</v>
      </c>
      <c r="H26" s="82"/>
      <c r="I26" s="60"/>
      <c r="J26" s="32">
        <f t="shared" si="3"/>
        <v>0</v>
      </c>
      <c r="K26" s="75"/>
      <c r="L26" s="58">
        <f t="shared" si="0"/>
        <v>0</v>
      </c>
      <c r="M26" s="59"/>
      <c r="N26" s="57"/>
      <c r="O26" s="58"/>
      <c r="P26" s="59"/>
    </row>
    <row r="27" spans="1:16" ht="15.95" customHeight="1">
      <c r="A27" s="1">
        <f>'출퇴근 및 급여'!A27</f>
        <v>44981</v>
      </c>
      <c r="B27" s="82"/>
      <c r="C27" s="77"/>
      <c r="D27" s="32">
        <f t="shared" si="1"/>
        <v>0</v>
      </c>
      <c r="E27" s="82"/>
      <c r="F27" s="77"/>
      <c r="G27" s="32">
        <f t="shared" si="2"/>
        <v>0</v>
      </c>
      <c r="H27" s="82"/>
      <c r="I27" s="60"/>
      <c r="J27" s="32">
        <f t="shared" si="3"/>
        <v>0</v>
      </c>
      <c r="K27" s="75"/>
      <c r="L27" s="58">
        <f t="shared" si="0"/>
        <v>0</v>
      </c>
      <c r="M27" s="59"/>
      <c r="N27" s="57"/>
      <c r="O27" s="58"/>
      <c r="P27" s="59"/>
    </row>
    <row r="28" spans="1:16" ht="15.95" customHeight="1">
      <c r="A28" s="1">
        <f>'출퇴근 및 급여'!A28</f>
        <v>44982</v>
      </c>
      <c r="B28" s="82"/>
      <c r="C28" s="77"/>
      <c r="D28" s="32">
        <f t="shared" si="1"/>
        <v>0</v>
      </c>
      <c r="E28" s="82"/>
      <c r="F28" s="77"/>
      <c r="G28" s="32">
        <f t="shared" si="2"/>
        <v>0</v>
      </c>
      <c r="H28" s="82"/>
      <c r="I28" s="60"/>
      <c r="J28" s="32">
        <f t="shared" si="3"/>
        <v>0</v>
      </c>
      <c r="K28" s="75"/>
      <c r="L28" s="58">
        <f t="shared" si="0"/>
        <v>0</v>
      </c>
      <c r="M28" s="59"/>
      <c r="N28" s="57"/>
      <c r="O28" s="58"/>
      <c r="P28" s="59"/>
    </row>
    <row r="29" spans="1:16" ht="15.95" customHeight="1">
      <c r="A29" s="1">
        <f>'출퇴근 및 급여'!A29</f>
        <v>44983</v>
      </c>
      <c r="B29" s="82"/>
      <c r="C29" s="77"/>
      <c r="D29" s="32">
        <f t="shared" si="1"/>
        <v>0</v>
      </c>
      <c r="E29" s="82"/>
      <c r="F29" s="77"/>
      <c r="G29" s="32">
        <f t="shared" si="2"/>
        <v>0</v>
      </c>
      <c r="H29" s="82"/>
      <c r="I29" s="60"/>
      <c r="J29" s="32">
        <f t="shared" si="3"/>
        <v>0</v>
      </c>
      <c r="K29" s="75"/>
      <c r="L29" s="58">
        <f t="shared" si="0"/>
        <v>0</v>
      </c>
      <c r="M29" s="59"/>
      <c r="N29" s="57"/>
      <c r="O29" s="58"/>
      <c r="P29" s="59"/>
    </row>
    <row r="30" spans="1:16" ht="15.95" customHeight="1">
      <c r="A30" s="1">
        <f>'출퇴근 및 급여'!A30</f>
        <v>44984</v>
      </c>
      <c r="B30" s="82"/>
      <c r="C30" s="77"/>
      <c r="D30" s="32">
        <f t="shared" si="1"/>
        <v>0</v>
      </c>
      <c r="E30" s="82"/>
      <c r="F30" s="77"/>
      <c r="G30" s="32">
        <f t="shared" si="2"/>
        <v>0</v>
      </c>
      <c r="H30" s="82"/>
      <c r="I30" s="60"/>
      <c r="J30" s="32">
        <f t="shared" si="3"/>
        <v>0</v>
      </c>
      <c r="K30" s="75"/>
      <c r="L30" s="58">
        <f t="shared" si="0"/>
        <v>0</v>
      </c>
      <c r="M30" s="59"/>
      <c r="N30" s="57"/>
      <c r="O30" s="58"/>
      <c r="P30" s="59"/>
    </row>
    <row r="31" spans="1:16" ht="15.95" customHeight="1">
      <c r="A31" s="1">
        <f>'출퇴근 및 급여'!A31</f>
        <v>44985</v>
      </c>
      <c r="B31" s="82"/>
      <c r="C31" s="77"/>
      <c r="D31" s="32">
        <f t="shared" si="1"/>
        <v>0</v>
      </c>
      <c r="E31" s="82"/>
      <c r="F31" s="77"/>
      <c r="G31" s="32">
        <f t="shared" si="2"/>
        <v>0</v>
      </c>
      <c r="H31" s="82"/>
      <c r="I31" s="60"/>
      <c r="J31" s="32">
        <f t="shared" si="3"/>
        <v>0</v>
      </c>
      <c r="K31" s="75"/>
      <c r="L31" s="58">
        <f t="shared" si="0"/>
        <v>0</v>
      </c>
      <c r="M31" s="59"/>
      <c r="N31" s="57"/>
      <c r="O31" s="58"/>
      <c r="P31" s="59"/>
    </row>
    <row r="32" spans="1:16" ht="15.95" customHeight="1">
      <c r="A32" s="1" t="str">
        <f>'출퇴근 및 급여'!A32</f>
        <v/>
      </c>
      <c r="B32" s="82"/>
      <c r="C32" s="77"/>
      <c r="D32" s="32">
        <f t="shared" si="1"/>
        <v>0</v>
      </c>
      <c r="E32" s="82"/>
      <c r="F32" s="77"/>
      <c r="G32" s="32">
        <f t="shared" si="2"/>
        <v>0</v>
      </c>
      <c r="H32" s="82"/>
      <c r="I32" s="60"/>
      <c r="J32" s="32">
        <f t="shared" si="3"/>
        <v>0</v>
      </c>
      <c r="K32" s="75"/>
      <c r="L32" s="58">
        <f t="shared" si="0"/>
        <v>0</v>
      </c>
      <c r="M32" s="59"/>
      <c r="N32" s="57"/>
      <c r="O32" s="58"/>
      <c r="P32" s="59"/>
    </row>
    <row r="33" spans="1:16" ht="15.95" customHeight="1">
      <c r="A33" s="1" t="str">
        <f>'출퇴근 및 급여'!A33</f>
        <v/>
      </c>
      <c r="B33" s="82"/>
      <c r="C33" s="77"/>
      <c r="D33" s="32">
        <f t="shared" si="1"/>
        <v>0</v>
      </c>
      <c r="E33" s="82"/>
      <c r="F33" s="77"/>
      <c r="G33" s="32">
        <f t="shared" si="2"/>
        <v>0</v>
      </c>
      <c r="H33" s="82"/>
      <c r="I33" s="60"/>
      <c r="J33" s="32">
        <f t="shared" si="3"/>
        <v>0</v>
      </c>
      <c r="K33" s="75"/>
      <c r="L33" s="58">
        <f t="shared" si="0"/>
        <v>0</v>
      </c>
      <c r="M33" s="59"/>
      <c r="N33" s="57"/>
      <c r="O33" s="58"/>
      <c r="P33" s="59"/>
    </row>
    <row r="34" spans="1:16" ht="15.95" customHeight="1">
      <c r="A34" s="1" t="str">
        <f>'출퇴근 및 급여'!A34</f>
        <v/>
      </c>
      <c r="B34" s="82"/>
      <c r="C34" s="77"/>
      <c r="D34" s="32">
        <f t="shared" si="1"/>
        <v>0</v>
      </c>
      <c r="E34" s="82"/>
      <c r="F34" s="60"/>
      <c r="G34" s="32">
        <f t="shared" si="2"/>
        <v>0</v>
      </c>
      <c r="H34" s="82"/>
      <c r="I34" s="60"/>
      <c r="J34" s="32">
        <f t="shared" si="3"/>
        <v>0</v>
      </c>
      <c r="K34" s="75"/>
      <c r="L34" s="58">
        <f t="shared" si="0"/>
        <v>0</v>
      </c>
      <c r="M34" s="59"/>
      <c r="N34" s="57"/>
      <c r="O34" s="58"/>
      <c r="P34" s="59"/>
    </row>
    <row r="35" spans="1:16" ht="15.95" customHeight="1" thickBot="1">
      <c r="A35" s="78" t="s">
        <v>48</v>
      </c>
      <c r="B35" s="83">
        <f>SUM(B4:B34)</f>
        <v>10</v>
      </c>
      <c r="C35" s="84">
        <f>SUM(C4:C34,)</f>
        <v>0</v>
      </c>
      <c r="D35" s="62">
        <f>SUM(D4:D34,)</f>
        <v>0</v>
      </c>
      <c r="E35" s="83">
        <f>SUM(E4:E34)</f>
        <v>3</v>
      </c>
      <c r="F35" s="84">
        <f>SUM(F4:F34,)</f>
        <v>0</v>
      </c>
      <c r="G35" s="62">
        <f>SUM(G4:G34,)</f>
        <v>0</v>
      </c>
      <c r="H35" s="83">
        <f>SUM(H4:H34)</f>
        <v>0</v>
      </c>
      <c r="I35" s="61"/>
      <c r="J35" s="62">
        <f>SUM(J4:J34,)</f>
        <v>0</v>
      </c>
      <c r="K35" s="76"/>
      <c r="L35" s="62">
        <f>SUM(L4:L34,)</f>
        <v>0</v>
      </c>
      <c r="M35" s="64"/>
      <c r="N35" s="63"/>
      <c r="O35" s="62">
        <f>SUM(O4:O34,)</f>
        <v>0</v>
      </c>
      <c r="P35" s="64"/>
    </row>
  </sheetData>
  <phoneticPr fontId="1" type="noConversion"/>
  <conditionalFormatting sqref="A4:K34">
    <cfRule type="expression" dxfId="7" priority="2">
      <formula>WEEKDAY($A4,1)=$C$1</formula>
    </cfRule>
    <cfRule type="expression" dxfId="6" priority="3">
      <formula>WEEKDAY($A4,1)=$B$1</formula>
    </cfRule>
  </conditionalFormatting>
  <pageMargins left="0.7" right="0.7" top="0.75" bottom="0.75" header="0.3" footer="0.3"/>
  <pageSetup paperSize="9" scale="88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3BFA-C431-4844-8DE5-C73708CECE4C}">
  <sheetPr>
    <tabColor rgb="FF92D050"/>
  </sheetPr>
  <dimension ref="A2:AE41"/>
  <sheetViews>
    <sheetView workbookViewId="0">
      <selection activeCell="L39" sqref="L39"/>
    </sheetView>
  </sheetViews>
  <sheetFormatPr defaultRowHeight="16.5"/>
  <cols>
    <col min="1" max="1" width="9.875" bestFit="1" customWidth="1"/>
    <col min="2" max="2" width="6.25" bestFit="1" customWidth="1"/>
    <col min="3" max="3" width="8.875" style="144" bestFit="1" customWidth="1"/>
    <col min="4" max="4" width="5.75" style="144" bestFit="1" customWidth="1"/>
    <col min="5" max="5" width="4.5" style="144" bestFit="1" customWidth="1"/>
    <col min="6" max="8" width="4.5" style="144" customWidth="1"/>
    <col min="9" max="9" width="5.5" style="144" bestFit="1" customWidth="1"/>
    <col min="10" max="10" width="5.75" style="144" bestFit="1" customWidth="1"/>
    <col min="11" max="11" width="4.5" style="144" bestFit="1" customWidth="1"/>
    <col min="12" max="12" width="5.5" style="144" bestFit="1" customWidth="1"/>
    <col min="13" max="13" width="5.75" style="144" bestFit="1" customWidth="1"/>
    <col min="14" max="14" width="4.5" style="144" bestFit="1" customWidth="1"/>
    <col min="15" max="15" width="5.5" style="144" bestFit="1" customWidth="1"/>
    <col min="16" max="16" width="5.75" style="144" bestFit="1" customWidth="1"/>
    <col min="17" max="17" width="4.5" style="144" bestFit="1" customWidth="1"/>
    <col min="18" max="18" width="5.5" style="144" bestFit="1" customWidth="1"/>
    <col min="19" max="19" width="5.75" style="144" bestFit="1" customWidth="1"/>
    <col min="20" max="20" width="5.5" style="144" bestFit="1" customWidth="1"/>
    <col min="21" max="21" width="4.5" style="144" bestFit="1" customWidth="1"/>
    <col min="22" max="22" width="5.75" style="144" bestFit="1" customWidth="1"/>
    <col min="23" max="24" width="4.5" style="144" bestFit="1" customWidth="1"/>
    <col min="25" max="25" width="5.75" style="144" bestFit="1" customWidth="1"/>
    <col min="26" max="26" width="4.5" style="144" bestFit="1" customWidth="1"/>
  </cols>
  <sheetData>
    <row r="2" spans="1:31">
      <c r="C2" s="157" t="s">
        <v>64</v>
      </c>
      <c r="D2" s="157"/>
      <c r="E2" s="157"/>
      <c r="F2" s="157" t="s">
        <v>66</v>
      </c>
      <c r="G2" s="157"/>
      <c r="H2" s="157"/>
      <c r="I2" s="157" t="s">
        <v>68</v>
      </c>
      <c r="J2" s="157"/>
      <c r="K2" s="157"/>
      <c r="L2" s="157" t="s">
        <v>65</v>
      </c>
      <c r="M2" s="157"/>
      <c r="N2" s="157"/>
      <c r="O2" s="157" t="s">
        <v>67</v>
      </c>
      <c r="P2" s="157"/>
      <c r="Q2" s="157"/>
      <c r="R2" s="157" t="s">
        <v>86</v>
      </c>
      <c r="S2" s="157"/>
      <c r="T2" s="157"/>
      <c r="U2" s="157" t="s">
        <v>70</v>
      </c>
      <c r="V2" s="157"/>
      <c r="W2" s="157"/>
      <c r="X2" s="157" t="s">
        <v>69</v>
      </c>
      <c r="Y2" s="157"/>
      <c r="Z2" s="157"/>
      <c r="AA2" s="157" t="s">
        <v>74</v>
      </c>
      <c r="AB2" s="157"/>
      <c r="AC2" s="157"/>
      <c r="AD2" s="10"/>
      <c r="AE2" t="s">
        <v>99</v>
      </c>
    </row>
    <row r="3" spans="1:31">
      <c r="C3" s="145" t="s">
        <v>87</v>
      </c>
      <c r="D3" s="146" t="s">
        <v>88</v>
      </c>
      <c r="E3" s="146" t="s">
        <v>89</v>
      </c>
      <c r="F3" s="145" t="s">
        <v>87</v>
      </c>
      <c r="G3" s="146" t="s">
        <v>88</v>
      </c>
      <c r="H3" s="146" t="s">
        <v>89</v>
      </c>
      <c r="I3" s="145" t="s">
        <v>87</v>
      </c>
      <c r="J3" s="146" t="s">
        <v>88</v>
      </c>
      <c r="K3" s="146" t="s">
        <v>89</v>
      </c>
      <c r="L3" s="145" t="s">
        <v>87</v>
      </c>
      <c r="M3" s="146" t="s">
        <v>88</v>
      </c>
      <c r="N3" s="146" t="s">
        <v>89</v>
      </c>
      <c r="O3" s="145" t="s">
        <v>87</v>
      </c>
      <c r="P3" s="146" t="s">
        <v>88</v>
      </c>
      <c r="Q3" s="146" t="s">
        <v>89</v>
      </c>
      <c r="R3" s="145" t="s">
        <v>87</v>
      </c>
      <c r="S3" s="146" t="s">
        <v>88</v>
      </c>
      <c r="T3" s="146" t="s">
        <v>89</v>
      </c>
      <c r="U3" s="145" t="s">
        <v>87</v>
      </c>
      <c r="V3" s="146" t="s">
        <v>88</v>
      </c>
      <c r="W3" s="146" t="s">
        <v>89</v>
      </c>
      <c r="X3" s="145" t="s">
        <v>87</v>
      </c>
      <c r="Y3" s="146" t="s">
        <v>88</v>
      </c>
      <c r="Z3" s="146" t="s">
        <v>89</v>
      </c>
      <c r="AA3" s="145" t="s">
        <v>87</v>
      </c>
      <c r="AB3" s="146" t="s">
        <v>88</v>
      </c>
      <c r="AC3" s="146" t="s">
        <v>89</v>
      </c>
      <c r="AD3" s="10"/>
    </row>
    <row r="4" spans="1:31">
      <c r="A4" s="147">
        <v>44958</v>
      </c>
      <c r="B4" s="147" t="s">
        <v>90</v>
      </c>
      <c r="AD4" s="10"/>
      <c r="AE4" s="158">
        <f>SUM(C4:AD4)</f>
        <v>0</v>
      </c>
    </row>
    <row r="5" spans="1:31">
      <c r="A5" s="147">
        <v>44959</v>
      </c>
      <c r="B5" s="147" t="s">
        <v>91</v>
      </c>
      <c r="R5" s="144">
        <v>11.9</v>
      </c>
      <c r="T5" s="144">
        <v>33</v>
      </c>
      <c r="AD5" s="10"/>
      <c r="AE5" s="158">
        <f t="shared" ref="AE5:AE36" si="0">SUM(C5:AD5)</f>
        <v>44.9</v>
      </c>
    </row>
    <row r="6" spans="1:31">
      <c r="A6" s="147">
        <v>44960</v>
      </c>
      <c r="B6" s="147" t="s">
        <v>92</v>
      </c>
      <c r="D6" s="144">
        <v>0.5</v>
      </c>
      <c r="M6" s="144">
        <v>0.5</v>
      </c>
      <c r="V6" s="144">
        <v>0.5</v>
      </c>
      <c r="Y6" s="144">
        <v>0.5</v>
      </c>
      <c r="AD6" s="10"/>
      <c r="AE6" s="158">
        <f t="shared" si="0"/>
        <v>2</v>
      </c>
    </row>
    <row r="7" spans="1:31">
      <c r="A7" s="147">
        <v>44961</v>
      </c>
      <c r="B7" s="147" t="s">
        <v>93</v>
      </c>
      <c r="AD7" s="10"/>
      <c r="AE7" s="158">
        <f t="shared" si="0"/>
        <v>0</v>
      </c>
    </row>
    <row r="8" spans="1:31">
      <c r="A8" s="147">
        <v>44962</v>
      </c>
      <c r="B8" s="147" t="s">
        <v>94</v>
      </c>
      <c r="AD8" s="10"/>
      <c r="AE8" s="158">
        <f t="shared" si="0"/>
        <v>0</v>
      </c>
    </row>
    <row r="9" spans="1:31">
      <c r="A9" s="147">
        <v>44963</v>
      </c>
      <c r="B9" s="147" t="s">
        <v>95</v>
      </c>
      <c r="C9" s="144">
        <v>5.5</v>
      </c>
      <c r="AD9" s="10"/>
      <c r="AE9" s="158">
        <f t="shared" si="0"/>
        <v>5.5</v>
      </c>
    </row>
    <row r="10" spans="1:31">
      <c r="A10" s="147">
        <v>44964</v>
      </c>
      <c r="B10" s="147" t="s">
        <v>96</v>
      </c>
      <c r="AD10" s="10"/>
      <c r="AE10" s="158">
        <f t="shared" si="0"/>
        <v>0</v>
      </c>
    </row>
    <row r="11" spans="1:31">
      <c r="A11" s="147">
        <v>44965</v>
      </c>
      <c r="B11" s="147" t="s">
        <v>90</v>
      </c>
      <c r="C11" s="144">
        <v>25</v>
      </c>
      <c r="D11" s="144">
        <v>3</v>
      </c>
      <c r="F11" s="144">
        <v>3</v>
      </c>
      <c r="G11" s="144">
        <v>5</v>
      </c>
      <c r="J11" s="144">
        <v>1</v>
      </c>
      <c r="AD11" s="10"/>
      <c r="AE11" s="158">
        <f t="shared" si="0"/>
        <v>37</v>
      </c>
    </row>
    <row r="12" spans="1:31">
      <c r="A12" s="147">
        <v>44966</v>
      </c>
      <c r="B12" s="147" t="s">
        <v>91</v>
      </c>
      <c r="C12" s="144">
        <v>7.7</v>
      </c>
      <c r="L12" s="144">
        <v>19</v>
      </c>
      <c r="O12" s="144">
        <v>10</v>
      </c>
      <c r="AD12" s="10"/>
      <c r="AE12" s="158">
        <f t="shared" si="0"/>
        <v>36.700000000000003</v>
      </c>
    </row>
    <row r="13" spans="1:31">
      <c r="A13" s="147">
        <v>44967</v>
      </c>
      <c r="B13" s="147" t="s">
        <v>92</v>
      </c>
      <c r="C13" s="144">
        <v>2.65</v>
      </c>
      <c r="AD13" s="10"/>
      <c r="AE13" s="158">
        <f t="shared" si="0"/>
        <v>2.65</v>
      </c>
    </row>
    <row r="14" spans="1:31">
      <c r="A14" s="147">
        <v>44968</v>
      </c>
      <c r="B14" s="147" t="s">
        <v>93</v>
      </c>
      <c r="AD14" s="10"/>
      <c r="AE14" s="158">
        <f t="shared" si="0"/>
        <v>0</v>
      </c>
    </row>
    <row r="15" spans="1:31">
      <c r="A15" s="147">
        <v>44969</v>
      </c>
      <c r="B15" s="147" t="s">
        <v>94</v>
      </c>
      <c r="AD15" s="10"/>
      <c r="AE15" s="158">
        <f t="shared" si="0"/>
        <v>0</v>
      </c>
    </row>
    <row r="16" spans="1:31">
      <c r="A16" s="147">
        <v>44970</v>
      </c>
      <c r="B16" s="147" t="s">
        <v>95</v>
      </c>
      <c r="C16" s="144">
        <v>14.3</v>
      </c>
      <c r="D16" s="144">
        <v>0.5</v>
      </c>
      <c r="G16" s="144">
        <v>1</v>
      </c>
      <c r="P16" s="144">
        <v>0.5</v>
      </c>
      <c r="AB16">
        <v>1</v>
      </c>
      <c r="AD16" s="10"/>
      <c r="AE16" s="158">
        <f t="shared" si="0"/>
        <v>17.3</v>
      </c>
    </row>
    <row r="17" spans="1:31">
      <c r="A17" s="147">
        <v>44971</v>
      </c>
      <c r="B17" s="147" t="s">
        <v>96</v>
      </c>
      <c r="D17" s="144">
        <v>0.5</v>
      </c>
      <c r="F17" s="144">
        <v>2</v>
      </c>
      <c r="Y17" s="144">
        <v>0.5</v>
      </c>
      <c r="AD17" s="10"/>
      <c r="AE17" s="158">
        <f t="shared" si="0"/>
        <v>3</v>
      </c>
    </row>
    <row r="18" spans="1:31">
      <c r="A18" s="147">
        <v>44972</v>
      </c>
      <c r="B18" s="147" t="s">
        <v>90</v>
      </c>
      <c r="D18" s="144">
        <v>1</v>
      </c>
      <c r="G18" s="144">
        <v>1</v>
      </c>
      <c r="P18" s="144">
        <v>1</v>
      </c>
      <c r="AB18">
        <v>1</v>
      </c>
      <c r="AD18" s="10"/>
      <c r="AE18" s="158">
        <f t="shared" si="0"/>
        <v>4</v>
      </c>
    </row>
    <row r="19" spans="1:31">
      <c r="A19" s="147">
        <v>44973</v>
      </c>
      <c r="B19" s="147" t="s">
        <v>91</v>
      </c>
      <c r="C19" s="144">
        <v>9.8000000000000007</v>
      </c>
      <c r="D19" s="144">
        <v>5</v>
      </c>
      <c r="J19" s="144">
        <v>0.5</v>
      </c>
      <c r="Y19" s="144">
        <v>0.5</v>
      </c>
      <c r="AB19">
        <v>0.5</v>
      </c>
      <c r="AD19" s="10"/>
      <c r="AE19" s="158">
        <f t="shared" si="0"/>
        <v>16.3</v>
      </c>
    </row>
    <row r="20" spans="1:31">
      <c r="A20" s="147">
        <v>44974</v>
      </c>
      <c r="B20" s="147" t="s">
        <v>92</v>
      </c>
      <c r="Y20" s="144">
        <v>0.5</v>
      </c>
      <c r="AB20">
        <v>0.5</v>
      </c>
      <c r="AD20" s="10"/>
      <c r="AE20" s="158">
        <f t="shared" si="0"/>
        <v>1</v>
      </c>
    </row>
    <row r="21" spans="1:31">
      <c r="A21" s="147">
        <v>44975</v>
      </c>
      <c r="B21" s="147" t="s">
        <v>93</v>
      </c>
      <c r="AD21" s="10"/>
      <c r="AE21" s="158">
        <f t="shared" si="0"/>
        <v>0</v>
      </c>
    </row>
    <row r="22" spans="1:31">
      <c r="A22" s="147">
        <v>44976</v>
      </c>
      <c r="B22" s="147" t="s">
        <v>94</v>
      </c>
      <c r="AD22" s="10"/>
      <c r="AE22" s="158">
        <f t="shared" si="0"/>
        <v>0</v>
      </c>
    </row>
    <row r="23" spans="1:31">
      <c r="A23" s="147">
        <v>44977</v>
      </c>
      <c r="B23" s="147" t="s">
        <v>95</v>
      </c>
      <c r="AD23" s="10"/>
      <c r="AE23" s="158">
        <f t="shared" si="0"/>
        <v>0</v>
      </c>
    </row>
    <row r="24" spans="1:31">
      <c r="A24" s="147">
        <v>44978</v>
      </c>
      <c r="B24" s="147" t="s">
        <v>96</v>
      </c>
      <c r="AD24" s="10"/>
      <c r="AE24" s="158">
        <f t="shared" si="0"/>
        <v>0</v>
      </c>
    </row>
    <row r="25" spans="1:31">
      <c r="A25" s="147">
        <v>44979</v>
      </c>
      <c r="B25" s="147" t="s">
        <v>90</v>
      </c>
      <c r="AD25" s="10"/>
      <c r="AE25" s="158">
        <f t="shared" si="0"/>
        <v>0</v>
      </c>
    </row>
    <row r="26" spans="1:31">
      <c r="A26" s="147">
        <v>44980</v>
      </c>
      <c r="B26" s="147" t="s">
        <v>91</v>
      </c>
      <c r="AD26" s="10"/>
      <c r="AE26" s="158">
        <f t="shared" si="0"/>
        <v>0</v>
      </c>
    </row>
    <row r="27" spans="1:31">
      <c r="A27" s="147">
        <v>44981</v>
      </c>
      <c r="B27" s="147" t="s">
        <v>92</v>
      </c>
      <c r="AD27" s="10"/>
      <c r="AE27" s="158">
        <f t="shared" si="0"/>
        <v>0</v>
      </c>
    </row>
    <row r="28" spans="1:31">
      <c r="A28" s="147">
        <v>44982</v>
      </c>
      <c r="B28" s="147" t="s">
        <v>93</v>
      </c>
      <c r="AD28" s="10"/>
      <c r="AE28" s="158">
        <f t="shared" si="0"/>
        <v>0</v>
      </c>
    </row>
    <row r="29" spans="1:31">
      <c r="A29" s="147">
        <v>44983</v>
      </c>
      <c r="B29" s="147" t="s">
        <v>94</v>
      </c>
      <c r="AD29" s="10"/>
      <c r="AE29" s="158">
        <f t="shared" si="0"/>
        <v>0</v>
      </c>
    </row>
    <row r="30" spans="1:31">
      <c r="A30" s="147">
        <v>44984</v>
      </c>
      <c r="B30" s="147" t="s">
        <v>95</v>
      </c>
      <c r="AD30" s="10"/>
      <c r="AE30" s="158">
        <f t="shared" si="0"/>
        <v>0</v>
      </c>
    </row>
    <row r="31" spans="1:31">
      <c r="A31" s="147">
        <v>44985</v>
      </c>
      <c r="B31" s="147" t="s">
        <v>96</v>
      </c>
      <c r="AD31" s="10"/>
      <c r="AE31" s="158">
        <f t="shared" si="0"/>
        <v>0</v>
      </c>
    </row>
    <row r="32" spans="1:31">
      <c r="C32" s="154" t="s">
        <v>64</v>
      </c>
      <c r="D32" s="154"/>
      <c r="E32" s="154"/>
      <c r="F32" s="154" t="s">
        <v>66</v>
      </c>
      <c r="G32" s="154"/>
      <c r="H32" s="154"/>
      <c r="I32" s="154" t="s">
        <v>68</v>
      </c>
      <c r="J32" s="154"/>
      <c r="K32" s="154"/>
      <c r="L32" s="154" t="s">
        <v>65</v>
      </c>
      <c r="M32" s="154"/>
      <c r="N32" s="154"/>
      <c r="O32" s="154" t="s">
        <v>67</v>
      </c>
      <c r="P32" s="154"/>
      <c r="Q32" s="154"/>
      <c r="R32" s="154" t="s">
        <v>74</v>
      </c>
      <c r="S32" s="154"/>
      <c r="T32" s="154"/>
      <c r="U32" s="154" t="s">
        <v>70</v>
      </c>
      <c r="V32" s="154"/>
      <c r="W32" s="154"/>
      <c r="X32" s="154" t="s">
        <v>69</v>
      </c>
      <c r="Y32" s="154"/>
      <c r="Z32" s="154"/>
      <c r="AA32" s="154" t="s">
        <v>74</v>
      </c>
      <c r="AB32" s="154"/>
      <c r="AC32" s="154"/>
      <c r="AD32" s="10"/>
      <c r="AE32" s="158">
        <f t="shared" si="0"/>
        <v>0</v>
      </c>
    </row>
    <row r="33" spans="1:31">
      <c r="A33" t="s">
        <v>36</v>
      </c>
      <c r="B33" s="149">
        <f>보고서!C2</f>
        <v>44973</v>
      </c>
      <c r="C33" s="148">
        <f t="shared" ref="C33:AC33" si="1">SUMIF($A$4:$A$31,$B$33,C4:C31)</f>
        <v>9.8000000000000007</v>
      </c>
      <c r="D33" s="148">
        <f t="shared" si="1"/>
        <v>5</v>
      </c>
      <c r="E33" s="148">
        <f t="shared" si="1"/>
        <v>0</v>
      </c>
      <c r="F33" s="148">
        <f t="shared" si="1"/>
        <v>0</v>
      </c>
      <c r="G33" s="148">
        <f t="shared" si="1"/>
        <v>0</v>
      </c>
      <c r="H33" s="148">
        <f t="shared" si="1"/>
        <v>0</v>
      </c>
      <c r="I33" s="148">
        <f t="shared" si="1"/>
        <v>0</v>
      </c>
      <c r="J33" s="148">
        <f t="shared" si="1"/>
        <v>0.5</v>
      </c>
      <c r="K33" s="148">
        <f t="shared" si="1"/>
        <v>0</v>
      </c>
      <c r="L33" s="148">
        <f t="shared" si="1"/>
        <v>0</v>
      </c>
      <c r="M33" s="148">
        <f t="shared" si="1"/>
        <v>0</v>
      </c>
      <c r="N33" s="148">
        <f t="shared" si="1"/>
        <v>0</v>
      </c>
      <c r="O33" s="148">
        <f t="shared" si="1"/>
        <v>0</v>
      </c>
      <c r="P33" s="148">
        <f t="shared" si="1"/>
        <v>0</v>
      </c>
      <c r="Q33" s="148">
        <f t="shared" si="1"/>
        <v>0</v>
      </c>
      <c r="R33" s="148">
        <f t="shared" si="1"/>
        <v>0</v>
      </c>
      <c r="S33" s="148">
        <f t="shared" si="1"/>
        <v>0</v>
      </c>
      <c r="T33" s="148">
        <f t="shared" si="1"/>
        <v>0</v>
      </c>
      <c r="U33" s="148">
        <f t="shared" si="1"/>
        <v>0</v>
      </c>
      <c r="V33" s="148">
        <f t="shared" si="1"/>
        <v>0</v>
      </c>
      <c r="W33" s="148">
        <f t="shared" si="1"/>
        <v>0</v>
      </c>
      <c r="X33" s="148">
        <f t="shared" si="1"/>
        <v>0</v>
      </c>
      <c r="Y33" s="148">
        <f t="shared" si="1"/>
        <v>0.5</v>
      </c>
      <c r="Z33" s="148">
        <f t="shared" si="1"/>
        <v>0</v>
      </c>
      <c r="AA33" s="148">
        <f t="shared" si="1"/>
        <v>0</v>
      </c>
      <c r="AB33" s="148">
        <f t="shared" si="1"/>
        <v>0.5</v>
      </c>
      <c r="AC33" s="148">
        <f t="shared" si="1"/>
        <v>0</v>
      </c>
      <c r="AD33" s="10"/>
      <c r="AE33" s="158">
        <f t="shared" si="0"/>
        <v>16.3</v>
      </c>
    </row>
    <row r="34" spans="1:31">
      <c r="A34" t="s">
        <v>98</v>
      </c>
      <c r="B34" s="149"/>
      <c r="C34" s="154">
        <f>C33+D33</f>
        <v>14.8</v>
      </c>
      <c r="D34" s="154"/>
      <c r="E34" s="154"/>
      <c r="F34" s="154">
        <f>F33+G33</f>
        <v>0</v>
      </c>
      <c r="G34" s="154"/>
      <c r="H34" s="154"/>
      <c r="I34" s="154">
        <f>I33+J33</f>
        <v>0.5</v>
      </c>
      <c r="J34" s="154"/>
      <c r="K34" s="154"/>
      <c r="L34" s="154">
        <f>L33+M33</f>
        <v>0</v>
      </c>
      <c r="M34" s="154"/>
      <c r="N34" s="154"/>
      <c r="O34" s="154">
        <f>O33+P33</f>
        <v>0</v>
      </c>
      <c r="P34" s="154"/>
      <c r="Q34" s="154"/>
      <c r="R34" s="154">
        <f>R33+S33</f>
        <v>0</v>
      </c>
      <c r="S34" s="154"/>
      <c r="T34" s="154"/>
      <c r="U34" s="154">
        <f>U33+V33</f>
        <v>0</v>
      </c>
      <c r="V34" s="154"/>
      <c r="W34" s="154"/>
      <c r="X34" s="154">
        <f>X33+Y33</f>
        <v>0.5</v>
      </c>
      <c r="Y34" s="154"/>
      <c r="Z34" s="154"/>
      <c r="AA34" s="154">
        <f>AA33+AB33</f>
        <v>0.5</v>
      </c>
      <c r="AB34" s="154"/>
      <c r="AC34" s="154"/>
      <c r="AD34" s="10"/>
      <c r="AE34" s="158">
        <f t="shared" si="0"/>
        <v>16.3</v>
      </c>
    </row>
    <row r="35" spans="1:31">
      <c r="A35" t="s">
        <v>33</v>
      </c>
      <c r="C35" s="148">
        <f t="shared" ref="C35:H35" si="2">SUM(C4:C31)</f>
        <v>64.95</v>
      </c>
      <c r="D35" s="148">
        <f t="shared" si="2"/>
        <v>10.5</v>
      </c>
      <c r="E35" s="148">
        <f t="shared" si="2"/>
        <v>0</v>
      </c>
      <c r="F35" s="148">
        <f t="shared" si="2"/>
        <v>5</v>
      </c>
      <c r="G35" s="148">
        <f t="shared" si="2"/>
        <v>7</v>
      </c>
      <c r="H35" s="148">
        <f t="shared" si="2"/>
        <v>0</v>
      </c>
      <c r="I35" s="148">
        <f t="shared" ref="I35:AC35" si="3">SUM(I4:I31)</f>
        <v>0</v>
      </c>
      <c r="J35" s="148">
        <f t="shared" si="3"/>
        <v>1.5</v>
      </c>
      <c r="K35" s="148">
        <f t="shared" si="3"/>
        <v>0</v>
      </c>
      <c r="L35" s="148">
        <f t="shared" si="3"/>
        <v>19</v>
      </c>
      <c r="M35" s="148">
        <f t="shared" si="3"/>
        <v>0.5</v>
      </c>
      <c r="N35" s="148">
        <f t="shared" si="3"/>
        <v>0</v>
      </c>
      <c r="O35" s="148">
        <f t="shared" si="3"/>
        <v>10</v>
      </c>
      <c r="P35" s="148">
        <f t="shared" si="3"/>
        <v>1.5</v>
      </c>
      <c r="Q35" s="148">
        <f t="shared" si="3"/>
        <v>0</v>
      </c>
      <c r="R35" s="148">
        <f t="shared" si="3"/>
        <v>11.9</v>
      </c>
      <c r="S35" s="148">
        <f t="shared" si="3"/>
        <v>0</v>
      </c>
      <c r="T35" s="148">
        <f t="shared" si="3"/>
        <v>33</v>
      </c>
      <c r="U35" s="148">
        <f t="shared" si="3"/>
        <v>0</v>
      </c>
      <c r="V35" s="148">
        <f t="shared" si="3"/>
        <v>0.5</v>
      </c>
      <c r="W35" s="148">
        <f t="shared" si="3"/>
        <v>0</v>
      </c>
      <c r="X35" s="148">
        <f t="shared" si="3"/>
        <v>0</v>
      </c>
      <c r="Y35" s="148">
        <f t="shared" si="3"/>
        <v>2</v>
      </c>
      <c r="Z35" s="148">
        <f t="shared" si="3"/>
        <v>0</v>
      </c>
      <c r="AA35" s="148">
        <f t="shared" si="3"/>
        <v>0</v>
      </c>
      <c r="AB35" s="148">
        <f t="shared" si="3"/>
        <v>3</v>
      </c>
      <c r="AC35" s="148">
        <f t="shared" si="3"/>
        <v>0</v>
      </c>
      <c r="AD35" s="10"/>
      <c r="AE35" s="158">
        <f t="shared" si="0"/>
        <v>170.35</v>
      </c>
    </row>
    <row r="36" spans="1:31">
      <c r="A36" t="s">
        <v>100</v>
      </c>
      <c r="C36" s="154">
        <f>C35+D35</f>
        <v>75.45</v>
      </c>
      <c r="D36" s="154"/>
      <c r="E36" s="154"/>
      <c r="F36" s="154">
        <f>F35+G35</f>
        <v>12</v>
      </c>
      <c r="G36" s="154"/>
      <c r="H36" s="154"/>
      <c r="I36" s="154">
        <f>I35+J35</f>
        <v>1.5</v>
      </c>
      <c r="J36" s="154"/>
      <c r="K36" s="154"/>
      <c r="L36" s="154">
        <f>L35+M35</f>
        <v>19.5</v>
      </c>
      <c r="M36" s="154"/>
      <c r="N36" s="154"/>
      <c r="O36" s="154">
        <f>O35+P35</f>
        <v>11.5</v>
      </c>
      <c r="P36" s="154"/>
      <c r="Q36" s="154"/>
      <c r="R36" s="154">
        <f>R35+S35</f>
        <v>11.9</v>
      </c>
      <c r="S36" s="154"/>
      <c r="T36" s="154"/>
      <c r="U36" s="154">
        <f>U35+V35</f>
        <v>0.5</v>
      </c>
      <c r="V36" s="154"/>
      <c r="W36" s="154"/>
      <c r="X36" s="154">
        <f>X35+Y35</f>
        <v>2</v>
      </c>
      <c r="Y36" s="154"/>
      <c r="Z36" s="154"/>
      <c r="AA36" s="154">
        <f>AA35+AB35</f>
        <v>3</v>
      </c>
      <c r="AB36" s="154"/>
      <c r="AC36" s="154"/>
      <c r="AD36" s="10"/>
      <c r="AE36" s="158">
        <f t="shared" si="0"/>
        <v>137.35</v>
      </c>
    </row>
    <row r="37" spans="1:31">
      <c r="R37" s="155" t="s">
        <v>97</v>
      </c>
      <c r="S37" s="155"/>
      <c r="T37" s="155"/>
    </row>
    <row r="41" spans="1:31">
      <c r="A41" s="12">
        <f>K41</f>
        <v>1373500</v>
      </c>
      <c r="B41" s="12"/>
      <c r="K41" s="156">
        <f>(C36+F36+I36+L36+O36+R36+U36+X36+AA36)*10000</f>
        <v>1373500</v>
      </c>
      <c r="L41" s="156"/>
      <c r="M41" s="156"/>
      <c r="N41" s="156"/>
      <c r="O41" s="156"/>
      <c r="P41" s="156"/>
      <c r="Q41" s="156"/>
      <c r="R41" s="156"/>
    </row>
  </sheetData>
  <mergeCells count="38">
    <mergeCell ref="U2:W2"/>
    <mergeCell ref="X2:Z2"/>
    <mergeCell ref="AA2:AC2"/>
    <mergeCell ref="C32:E32"/>
    <mergeCell ref="F32:H32"/>
    <mergeCell ref="I32:K32"/>
    <mergeCell ref="L32:N32"/>
    <mergeCell ref="O32:Q32"/>
    <mergeCell ref="R32:T32"/>
    <mergeCell ref="U32:W32"/>
    <mergeCell ref="C2:E2"/>
    <mergeCell ref="F2:H2"/>
    <mergeCell ref="I2:K2"/>
    <mergeCell ref="L2:N2"/>
    <mergeCell ref="O2:Q2"/>
    <mergeCell ref="R2:T2"/>
    <mergeCell ref="X32:Z32"/>
    <mergeCell ref="AA32:AC32"/>
    <mergeCell ref="C36:E36"/>
    <mergeCell ref="F36:H36"/>
    <mergeCell ref="I36:K36"/>
    <mergeCell ref="L36:N36"/>
    <mergeCell ref="O36:Q36"/>
    <mergeCell ref="R36:T36"/>
    <mergeCell ref="U36:W36"/>
    <mergeCell ref="X36:Z36"/>
    <mergeCell ref="C34:E34"/>
    <mergeCell ref="F34:H34"/>
    <mergeCell ref="I34:K34"/>
    <mergeCell ref="L34:N34"/>
    <mergeCell ref="O34:Q34"/>
    <mergeCell ref="X34:Z34"/>
    <mergeCell ref="AA34:AC34"/>
    <mergeCell ref="AA36:AC36"/>
    <mergeCell ref="R37:T37"/>
    <mergeCell ref="K41:R41"/>
    <mergeCell ref="R34:T34"/>
    <mergeCell ref="U34:W3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0"/>
    <pageSetUpPr fitToPage="1"/>
  </sheetPr>
  <dimension ref="A1:Y40"/>
  <sheetViews>
    <sheetView zoomScale="85" zoomScaleNormal="85" workbookViewId="0">
      <pane xSplit="1" ySplit="3" topLeftCell="B4" activePane="bottomRight" state="frozenSplit"/>
      <selection pane="topRight"/>
      <selection pane="bottomLeft"/>
      <selection pane="bottomRight" activeCell="D13" sqref="D13"/>
    </sheetView>
  </sheetViews>
  <sheetFormatPr defaultRowHeight="16.5"/>
  <cols>
    <col min="1" max="1" width="13.25" style="38" customWidth="1"/>
    <col min="2" max="2" width="8.25" style="38" customWidth="1"/>
    <col min="3" max="5" width="7" style="38" customWidth="1"/>
    <col min="6" max="7" width="12" style="38" customWidth="1"/>
    <col min="8" max="8" width="8.625" style="38" customWidth="1"/>
    <col min="9" max="9" width="14.5" style="38" bestFit="1" customWidth="1"/>
    <col min="10" max="11" width="11.625" style="38" customWidth="1"/>
    <col min="12" max="12" width="16.625" style="38" bestFit="1" customWidth="1"/>
    <col min="13" max="16" width="22.375" style="38" customWidth="1"/>
    <col min="17" max="17" width="16.625" style="38" customWidth="1"/>
    <col min="18" max="18" width="17.75" style="38" customWidth="1"/>
    <col min="19" max="19" width="19.75" style="38" customWidth="1"/>
    <col min="20" max="20" width="16.5" style="38" customWidth="1"/>
    <col min="21" max="21" width="18.375" style="38" customWidth="1"/>
    <col min="22" max="22" width="9" style="100" customWidth="1"/>
    <col min="23" max="23" width="11.25" style="100" customWidth="1"/>
    <col min="24" max="24" width="10" style="100" customWidth="1"/>
    <col min="25" max="25" width="9.375" style="100" customWidth="1"/>
  </cols>
  <sheetData>
    <row r="1" spans="1:25" ht="18.75">
      <c r="A1" s="37" t="s">
        <v>9</v>
      </c>
      <c r="B1">
        <v>1</v>
      </c>
      <c r="C1">
        <v>7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s="37"/>
    </row>
    <row r="2" spans="1:25" ht="18.75">
      <c r="A2" s="37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s="37"/>
    </row>
    <row r="3" spans="1:25">
      <c r="A3" s="85" t="s">
        <v>10</v>
      </c>
      <c r="B3" s="106" t="s">
        <v>11</v>
      </c>
      <c r="C3" s="106" t="s">
        <v>12</v>
      </c>
      <c r="D3" s="107" t="s">
        <v>13</v>
      </c>
      <c r="E3" s="108" t="s">
        <v>14</v>
      </c>
      <c r="F3" s="107" t="s">
        <v>15</v>
      </c>
      <c r="G3" s="109" t="s">
        <v>16</v>
      </c>
      <c r="H3" s="107" t="s">
        <v>17</v>
      </c>
      <c r="I3" s="107" t="s">
        <v>75</v>
      </c>
      <c r="J3" s="107" t="s">
        <v>76</v>
      </c>
      <c r="K3" s="107" t="s">
        <v>77</v>
      </c>
      <c r="L3" s="107" t="s">
        <v>78</v>
      </c>
      <c r="M3" s="142" t="s">
        <v>18</v>
      </c>
      <c r="N3" s="110" t="s">
        <v>79</v>
      </c>
      <c r="O3" s="110" t="s">
        <v>80</v>
      </c>
      <c r="P3" s="110" t="s">
        <v>81</v>
      </c>
      <c r="Q3" s="107" t="s">
        <v>82</v>
      </c>
      <c r="R3" s="87" t="s">
        <v>19</v>
      </c>
      <c r="S3" s="86" t="s">
        <v>20</v>
      </c>
      <c r="T3" s="86" t="s">
        <v>21</v>
      </c>
      <c r="U3" s="86" t="s">
        <v>73</v>
      </c>
    </row>
    <row r="4" spans="1:25">
      <c r="A4" s="42">
        <f>'출퇴근 및 급여'!A4</f>
        <v>44958</v>
      </c>
      <c r="B4" s="159">
        <v>0</v>
      </c>
      <c r="C4" s="159">
        <v>0</v>
      </c>
      <c r="D4" s="159">
        <v>0</v>
      </c>
      <c r="E4" s="159">
        <v>0</v>
      </c>
      <c r="F4" s="116" t="str">
        <f t="shared" ref="F4:F34" si="0">IF(B4=0,"0",M4/B4)</f>
        <v>0</v>
      </c>
      <c r="G4" s="116">
        <f t="shared" ref="G4:G34" si="1">IF(H4=0,"0",M4/H4)</f>
        <v>0</v>
      </c>
      <c r="H4" s="165">
        <v>4</v>
      </c>
      <c r="I4" s="116">
        <v>0</v>
      </c>
      <c r="J4" s="115"/>
      <c r="K4" s="115"/>
      <c r="L4" s="115"/>
      <c r="M4" s="118">
        <f t="shared" ref="M4:M34" si="2">IF(H4&lt;&gt;"",SUM(I4:L4),"")</f>
        <v>0</v>
      </c>
      <c r="N4" s="118">
        <v>235800</v>
      </c>
      <c r="O4" s="118"/>
      <c r="P4" s="118">
        <v>515560</v>
      </c>
      <c r="Q4" s="115"/>
      <c r="R4" s="42"/>
      <c r="S4" s="135"/>
      <c r="T4" s="136">
        <v>92500</v>
      </c>
      <c r="U4" s="137"/>
      <c r="V4" s="101"/>
      <c r="W4" s="101"/>
      <c r="X4" s="101"/>
    </row>
    <row r="5" spans="1:25">
      <c r="A5" s="42">
        <f>'출퇴근 및 급여'!A5</f>
        <v>44959</v>
      </c>
      <c r="B5" s="159">
        <v>2</v>
      </c>
      <c r="C5" s="159">
        <v>1</v>
      </c>
      <c r="D5" s="159">
        <v>1</v>
      </c>
      <c r="E5" s="159">
        <v>0</v>
      </c>
      <c r="F5" s="116">
        <f t="shared" si="0"/>
        <v>360000</v>
      </c>
      <c r="G5" s="116">
        <f t="shared" si="1"/>
        <v>144000</v>
      </c>
      <c r="H5" s="165">
        <v>5</v>
      </c>
      <c r="I5" s="116">
        <v>720000</v>
      </c>
      <c r="J5" s="115"/>
      <c r="K5" s="115"/>
      <c r="L5" s="115"/>
      <c r="M5" s="118">
        <f t="shared" si="2"/>
        <v>720000</v>
      </c>
      <c r="N5" s="118">
        <v>23500</v>
      </c>
      <c r="O5" s="118"/>
      <c r="P5" s="118">
        <f t="shared" ref="P5:P11" si="3">P4+J5-N5-O5</f>
        <v>492060</v>
      </c>
      <c r="Q5" s="115"/>
      <c r="R5" s="42"/>
      <c r="S5" s="135"/>
      <c r="T5" s="136"/>
      <c r="U5" s="137"/>
      <c r="W5" s="101"/>
      <c r="X5" s="101"/>
    </row>
    <row r="6" spans="1:25">
      <c r="A6" s="42">
        <f>'출퇴근 및 급여'!A6</f>
        <v>44960</v>
      </c>
      <c r="B6" s="159">
        <v>2</v>
      </c>
      <c r="C6" s="159">
        <v>2</v>
      </c>
      <c r="D6" s="159">
        <v>0</v>
      </c>
      <c r="E6" s="159">
        <v>1</v>
      </c>
      <c r="F6" s="116">
        <f t="shared" si="0"/>
        <v>680000</v>
      </c>
      <c r="G6" s="116">
        <f t="shared" si="1"/>
        <v>340000</v>
      </c>
      <c r="H6" s="162">
        <v>4</v>
      </c>
      <c r="I6" s="116">
        <v>1360000</v>
      </c>
      <c r="J6" s="115"/>
      <c r="K6" s="115"/>
      <c r="L6" s="115"/>
      <c r="M6" s="118">
        <f t="shared" si="2"/>
        <v>1360000</v>
      </c>
      <c r="N6" s="118">
        <v>19000</v>
      </c>
      <c r="O6" s="118"/>
      <c r="P6" s="118">
        <f t="shared" si="3"/>
        <v>473060</v>
      </c>
      <c r="Q6" s="115"/>
      <c r="R6" s="42"/>
      <c r="S6" s="135">
        <v>1567874</v>
      </c>
      <c r="T6" s="136">
        <v>96990</v>
      </c>
      <c r="U6" s="137" t="s">
        <v>72</v>
      </c>
      <c r="W6" s="101"/>
    </row>
    <row r="7" spans="1:25" s="104" customFormat="1">
      <c r="A7" s="42">
        <f>'출퇴근 및 급여'!A7</f>
        <v>44961</v>
      </c>
      <c r="B7" s="159"/>
      <c r="C7" s="159"/>
      <c r="D7" s="159"/>
      <c r="E7" s="159"/>
      <c r="F7" s="117" t="str">
        <f t="shared" si="0"/>
        <v>0</v>
      </c>
      <c r="G7" s="117" t="str">
        <f t="shared" si="1"/>
        <v>0</v>
      </c>
      <c r="H7" s="163"/>
      <c r="I7" s="116"/>
      <c r="J7" s="43"/>
      <c r="K7" s="43"/>
      <c r="L7" s="43"/>
      <c r="M7" s="118" t="str">
        <f t="shared" si="2"/>
        <v/>
      </c>
      <c r="N7" s="118"/>
      <c r="O7" s="117"/>
      <c r="P7" s="118">
        <f t="shared" si="3"/>
        <v>473060</v>
      </c>
      <c r="Q7" s="43"/>
      <c r="R7" s="42"/>
      <c r="S7" s="42"/>
      <c r="T7" s="42"/>
      <c r="U7" s="42"/>
      <c r="V7" s="102"/>
      <c r="W7" s="103"/>
      <c r="X7" s="102"/>
      <c r="Y7" s="102"/>
    </row>
    <row r="8" spans="1:25">
      <c r="A8" s="42">
        <f>'출퇴근 및 급여'!A8</f>
        <v>44962</v>
      </c>
      <c r="B8" s="159"/>
      <c r="C8" s="159"/>
      <c r="D8" s="159"/>
      <c r="E8" s="159"/>
      <c r="F8" s="117" t="str">
        <f t="shared" si="0"/>
        <v>0</v>
      </c>
      <c r="G8" s="117" t="str">
        <f t="shared" si="1"/>
        <v>0</v>
      </c>
      <c r="H8" s="164"/>
      <c r="I8" s="116"/>
      <c r="J8" s="43"/>
      <c r="K8" s="43"/>
      <c r="L8" s="43"/>
      <c r="M8" s="118" t="str">
        <f t="shared" si="2"/>
        <v/>
      </c>
      <c r="N8" s="118"/>
      <c r="O8" s="117"/>
      <c r="P8" s="118">
        <f t="shared" si="3"/>
        <v>473060</v>
      </c>
      <c r="Q8" s="43"/>
      <c r="R8" s="42"/>
      <c r="S8" s="42"/>
      <c r="T8" s="42"/>
      <c r="U8" s="42"/>
    </row>
    <row r="9" spans="1:25">
      <c r="A9" s="42">
        <f>'출퇴근 및 급여'!A9</f>
        <v>44963</v>
      </c>
      <c r="B9" s="159">
        <v>1</v>
      </c>
      <c r="C9" s="159">
        <v>0</v>
      </c>
      <c r="D9" s="159">
        <v>1</v>
      </c>
      <c r="E9" s="159">
        <v>0</v>
      </c>
      <c r="F9" s="117">
        <f t="shared" si="0"/>
        <v>550000</v>
      </c>
      <c r="G9" s="117">
        <f t="shared" si="1"/>
        <v>137500</v>
      </c>
      <c r="H9" s="162">
        <v>4</v>
      </c>
      <c r="I9" s="116">
        <v>550000</v>
      </c>
      <c r="J9" s="134"/>
      <c r="K9" s="134"/>
      <c r="L9" s="134"/>
      <c r="M9" s="118">
        <f t="shared" si="2"/>
        <v>550000</v>
      </c>
      <c r="N9" s="118">
        <v>9000</v>
      </c>
      <c r="O9" s="139"/>
      <c r="P9" s="118">
        <f t="shared" si="3"/>
        <v>464060</v>
      </c>
      <c r="Q9" s="134"/>
      <c r="R9" s="42"/>
      <c r="S9" s="42"/>
      <c r="T9" s="42"/>
      <c r="U9" s="42"/>
      <c r="V9" s="105"/>
    </row>
    <row r="10" spans="1:25">
      <c r="A10" s="42">
        <f>'출퇴근 및 급여'!A10</f>
        <v>44964</v>
      </c>
      <c r="B10" s="159"/>
      <c r="C10" s="159"/>
      <c r="D10" s="159"/>
      <c r="E10" s="159"/>
      <c r="F10" s="117" t="str">
        <f t="shared" si="0"/>
        <v>0</v>
      </c>
      <c r="G10" s="117" t="str">
        <f t="shared" si="1"/>
        <v>0</v>
      </c>
      <c r="H10" s="162"/>
      <c r="I10" s="116">
        <v>0</v>
      </c>
      <c r="J10" s="134"/>
      <c r="K10" s="134"/>
      <c r="L10" s="134"/>
      <c r="M10" s="118" t="str">
        <f t="shared" si="2"/>
        <v/>
      </c>
      <c r="N10" s="118">
        <v>18000</v>
      </c>
      <c r="O10" s="139"/>
      <c r="P10" s="118">
        <f t="shared" si="3"/>
        <v>446060</v>
      </c>
      <c r="Q10" s="134"/>
      <c r="R10" s="42"/>
      <c r="S10" s="42"/>
      <c r="T10" s="42"/>
      <c r="U10" s="42"/>
    </row>
    <row r="11" spans="1:25">
      <c r="A11" s="42">
        <f>'출퇴근 및 급여'!A11</f>
        <v>44965</v>
      </c>
      <c r="B11" s="159">
        <v>6</v>
      </c>
      <c r="C11" s="159">
        <v>1</v>
      </c>
      <c r="D11" s="159">
        <v>5</v>
      </c>
      <c r="E11" s="159">
        <v>2</v>
      </c>
      <c r="F11" s="117">
        <f t="shared" si="0"/>
        <v>613333.33333333337</v>
      </c>
      <c r="G11" s="117">
        <f t="shared" si="1"/>
        <v>920000</v>
      </c>
      <c r="H11" s="162">
        <v>4</v>
      </c>
      <c r="I11" s="116">
        <v>3680000</v>
      </c>
      <c r="J11" s="134"/>
      <c r="K11" s="134"/>
      <c r="L11" s="134"/>
      <c r="M11" s="118">
        <f t="shared" si="2"/>
        <v>3680000</v>
      </c>
      <c r="N11" s="118">
        <v>68500</v>
      </c>
      <c r="O11" s="139"/>
      <c r="P11" s="118">
        <f t="shared" si="3"/>
        <v>377560</v>
      </c>
      <c r="Q11" s="134"/>
      <c r="R11" s="42"/>
      <c r="S11" s="42"/>
      <c r="T11" s="42"/>
      <c r="U11" s="42"/>
    </row>
    <row r="12" spans="1:25">
      <c r="A12" s="42">
        <f>'출퇴근 및 급여'!A12</f>
        <v>44966</v>
      </c>
      <c r="B12" s="159">
        <v>4</v>
      </c>
      <c r="C12" s="159">
        <v>1</v>
      </c>
      <c r="D12" s="159">
        <v>3</v>
      </c>
      <c r="E12" s="159">
        <v>2</v>
      </c>
      <c r="F12" s="117">
        <f t="shared" si="0"/>
        <v>1652500</v>
      </c>
      <c r="G12" s="117">
        <f t="shared" si="1"/>
        <v>1322000</v>
      </c>
      <c r="H12" s="162">
        <v>5</v>
      </c>
      <c r="I12" s="116">
        <v>4190000</v>
      </c>
      <c r="J12" s="134">
        <v>1900000</v>
      </c>
      <c r="K12" s="134">
        <v>520000</v>
      </c>
      <c r="L12" s="134"/>
      <c r="M12" s="118">
        <f t="shared" si="2"/>
        <v>6610000</v>
      </c>
      <c r="N12" s="118">
        <v>423000</v>
      </c>
      <c r="O12" s="139"/>
      <c r="P12" s="118">
        <v>1957700</v>
      </c>
      <c r="Q12" s="134">
        <v>400000</v>
      </c>
      <c r="R12" s="42"/>
      <c r="S12" s="42"/>
      <c r="T12" s="42"/>
      <c r="U12" s="42"/>
    </row>
    <row r="13" spans="1:25">
      <c r="A13" s="42">
        <f>'출퇴근 및 급여'!A13</f>
        <v>44967</v>
      </c>
      <c r="B13" s="159">
        <v>3</v>
      </c>
      <c r="C13" s="159">
        <v>1</v>
      </c>
      <c r="D13" s="159">
        <v>2</v>
      </c>
      <c r="E13" s="159">
        <v>0</v>
      </c>
      <c r="F13" s="117">
        <f t="shared" si="0"/>
        <v>493333.33333333331</v>
      </c>
      <c r="G13" s="117">
        <f t="shared" si="1"/>
        <v>370000</v>
      </c>
      <c r="H13" s="162">
        <v>4</v>
      </c>
      <c r="I13" s="116">
        <v>1260000</v>
      </c>
      <c r="J13" s="134">
        <v>220000</v>
      </c>
      <c r="K13" s="134"/>
      <c r="L13" s="134"/>
      <c r="M13" s="118">
        <f t="shared" si="2"/>
        <v>1480000</v>
      </c>
      <c r="N13" s="118">
        <v>36800</v>
      </c>
      <c r="O13" s="139"/>
      <c r="P13" s="118">
        <f t="shared" ref="P13:P34" si="4">P12+J13-N13-O13</f>
        <v>2140900</v>
      </c>
      <c r="Q13" s="134"/>
      <c r="R13" s="42"/>
      <c r="S13" s="42"/>
      <c r="T13" s="42"/>
      <c r="U13" s="42"/>
      <c r="W13" s="101"/>
    </row>
    <row r="14" spans="1:25">
      <c r="A14" s="42">
        <f>'출퇴근 및 급여'!A14</f>
        <v>44968</v>
      </c>
      <c r="B14" s="159"/>
      <c r="C14" s="159"/>
      <c r="D14" s="159"/>
      <c r="E14" s="159"/>
      <c r="F14" s="117" t="str">
        <f t="shared" si="0"/>
        <v>0</v>
      </c>
      <c r="G14" s="117" t="str">
        <f t="shared" si="1"/>
        <v>0</v>
      </c>
      <c r="H14" s="163"/>
      <c r="I14" s="116"/>
      <c r="J14" s="43"/>
      <c r="K14" s="43"/>
      <c r="L14" s="43"/>
      <c r="M14" s="118" t="str">
        <f t="shared" si="2"/>
        <v/>
      </c>
      <c r="N14" s="118"/>
      <c r="O14" s="117"/>
      <c r="P14" s="118">
        <f t="shared" si="4"/>
        <v>2140900</v>
      </c>
      <c r="Q14" s="43"/>
      <c r="R14" s="42"/>
      <c r="S14" s="42"/>
      <c r="T14" s="42"/>
      <c r="U14" s="42"/>
      <c r="W14" s="105"/>
    </row>
    <row r="15" spans="1:25">
      <c r="A15" s="42">
        <f>'출퇴근 및 급여'!A15</f>
        <v>44969</v>
      </c>
      <c r="B15" s="159"/>
      <c r="C15" s="159"/>
      <c r="D15" s="159"/>
      <c r="E15" s="159"/>
      <c r="F15" s="117" t="str">
        <f t="shared" si="0"/>
        <v>0</v>
      </c>
      <c r="G15" s="117" t="str">
        <f t="shared" si="1"/>
        <v>0</v>
      </c>
      <c r="H15" s="164"/>
      <c r="I15" s="116"/>
      <c r="J15" s="43"/>
      <c r="K15" s="43"/>
      <c r="L15" s="43"/>
      <c r="M15" s="118" t="str">
        <f t="shared" si="2"/>
        <v/>
      </c>
      <c r="N15" s="118"/>
      <c r="O15" s="117"/>
      <c r="P15" s="118">
        <f t="shared" si="4"/>
        <v>2140900</v>
      </c>
      <c r="Q15" s="43"/>
      <c r="R15" s="42"/>
      <c r="S15" s="42"/>
      <c r="T15" s="42"/>
      <c r="U15" s="42"/>
      <c r="W15" s="105"/>
    </row>
    <row r="16" spans="1:25">
      <c r="A16" s="42">
        <f>'출퇴근 및 급여'!A16</f>
        <v>44970</v>
      </c>
      <c r="B16" s="159">
        <v>4</v>
      </c>
      <c r="C16" s="159">
        <v>2</v>
      </c>
      <c r="D16" s="159">
        <v>2</v>
      </c>
      <c r="E16" s="159">
        <v>2</v>
      </c>
      <c r="F16" s="117">
        <f t="shared" si="0"/>
        <v>937500</v>
      </c>
      <c r="G16" s="117">
        <f t="shared" si="1"/>
        <v>937500</v>
      </c>
      <c r="H16" s="162">
        <v>4</v>
      </c>
      <c r="I16" s="116">
        <v>2830000</v>
      </c>
      <c r="J16" s="43"/>
      <c r="K16" s="43">
        <v>520000</v>
      </c>
      <c r="L16" s="43">
        <v>400000</v>
      </c>
      <c r="M16" s="118">
        <f t="shared" si="2"/>
        <v>3750000</v>
      </c>
      <c r="N16" s="118">
        <v>47000</v>
      </c>
      <c r="O16" s="117">
        <v>2000000</v>
      </c>
      <c r="P16" s="118">
        <f t="shared" si="4"/>
        <v>93900</v>
      </c>
      <c r="Q16" s="43"/>
      <c r="R16" s="42"/>
      <c r="S16" s="42"/>
      <c r="T16" s="42"/>
      <c r="U16" s="42"/>
      <c r="V16" s="105"/>
    </row>
    <row r="17" spans="1:23" ht="16.5" customHeight="1">
      <c r="A17" s="42">
        <f>'출퇴근 및 급여'!A17</f>
        <v>44971</v>
      </c>
      <c r="B17" s="159">
        <v>3</v>
      </c>
      <c r="C17" s="159">
        <v>2</v>
      </c>
      <c r="D17" s="159">
        <v>1</v>
      </c>
      <c r="E17" s="159">
        <v>0</v>
      </c>
      <c r="F17" s="117">
        <f t="shared" si="0"/>
        <v>393333.33333333331</v>
      </c>
      <c r="G17" s="117">
        <f t="shared" si="1"/>
        <v>295000</v>
      </c>
      <c r="H17" s="162">
        <v>4</v>
      </c>
      <c r="I17" s="116">
        <v>1180000</v>
      </c>
      <c r="J17" s="43"/>
      <c r="K17" s="43"/>
      <c r="L17" s="43"/>
      <c r="M17" s="118">
        <f t="shared" si="2"/>
        <v>1180000</v>
      </c>
      <c r="N17" s="118">
        <v>14000</v>
      </c>
      <c r="O17" s="117"/>
      <c r="P17" s="118">
        <f t="shared" si="4"/>
        <v>79900</v>
      </c>
      <c r="Q17" s="43"/>
      <c r="R17" s="42"/>
      <c r="S17" s="42"/>
      <c r="T17" s="42"/>
      <c r="U17" s="42"/>
    </row>
    <row r="18" spans="1:23">
      <c r="A18" s="42">
        <f>'출퇴근 및 급여'!A18</f>
        <v>44972</v>
      </c>
      <c r="B18" s="159">
        <v>2</v>
      </c>
      <c r="C18" s="159">
        <v>2</v>
      </c>
      <c r="D18" s="159">
        <v>0</v>
      </c>
      <c r="E18" s="159">
        <v>0</v>
      </c>
      <c r="F18" s="117">
        <f t="shared" si="0"/>
        <v>1150000</v>
      </c>
      <c r="G18" s="117">
        <f t="shared" si="1"/>
        <v>575000</v>
      </c>
      <c r="H18" s="165">
        <v>4</v>
      </c>
      <c r="I18" s="116">
        <v>1900000</v>
      </c>
      <c r="J18" s="43">
        <v>400000</v>
      </c>
      <c r="K18" s="43"/>
      <c r="L18" s="43"/>
      <c r="M18" s="118">
        <f t="shared" si="2"/>
        <v>2300000</v>
      </c>
      <c r="N18" s="118">
        <v>17000</v>
      </c>
      <c r="O18" s="117"/>
      <c r="P18" s="118">
        <f t="shared" si="4"/>
        <v>462900</v>
      </c>
      <c r="Q18" s="43"/>
      <c r="R18" s="42"/>
      <c r="S18" s="42"/>
      <c r="T18" s="42"/>
      <c r="U18" s="42"/>
    </row>
    <row r="19" spans="1:23">
      <c r="A19" s="42">
        <f>'출퇴근 및 급여'!A19</f>
        <v>44973</v>
      </c>
      <c r="B19" s="159">
        <v>2</v>
      </c>
      <c r="C19" s="159">
        <v>2</v>
      </c>
      <c r="D19" s="159">
        <v>0</v>
      </c>
      <c r="E19" s="159">
        <v>1</v>
      </c>
      <c r="F19" s="117">
        <f t="shared" si="0"/>
        <v>610000</v>
      </c>
      <c r="G19" s="117">
        <f t="shared" si="1"/>
        <v>305000</v>
      </c>
      <c r="H19" s="165">
        <v>4</v>
      </c>
      <c r="I19" s="116">
        <v>1220000</v>
      </c>
      <c r="J19" s="43"/>
      <c r="K19" s="43"/>
      <c r="L19" s="43"/>
      <c r="M19" s="118">
        <f t="shared" si="2"/>
        <v>1220000</v>
      </c>
      <c r="N19" s="118">
        <v>47600</v>
      </c>
      <c r="O19" s="117"/>
      <c r="P19" s="118">
        <f t="shared" si="4"/>
        <v>415300</v>
      </c>
      <c r="Q19" s="43"/>
      <c r="R19" s="42"/>
      <c r="S19" s="42"/>
      <c r="T19" s="42"/>
      <c r="U19" s="42"/>
    </row>
    <row r="20" spans="1:23">
      <c r="A20" s="42">
        <f>'출퇴근 및 급여'!A20</f>
        <v>44974</v>
      </c>
      <c r="B20" s="159">
        <v>3</v>
      </c>
      <c r="C20" s="159">
        <v>2</v>
      </c>
      <c r="D20" s="159">
        <v>1</v>
      </c>
      <c r="E20" s="159">
        <v>2</v>
      </c>
      <c r="F20" s="117">
        <f t="shared" si="0"/>
        <v>813333.33333333337</v>
      </c>
      <c r="G20" s="117">
        <f t="shared" si="1"/>
        <v>610000</v>
      </c>
      <c r="H20" s="162">
        <v>4</v>
      </c>
      <c r="I20" s="116">
        <v>2440000</v>
      </c>
      <c r="J20" s="43"/>
      <c r="K20" s="43"/>
      <c r="L20" s="43"/>
      <c r="M20" s="118">
        <f t="shared" si="2"/>
        <v>2440000</v>
      </c>
      <c r="N20" s="118">
        <v>16100</v>
      </c>
      <c r="O20" s="117"/>
      <c r="P20" s="118">
        <f t="shared" si="4"/>
        <v>399200</v>
      </c>
      <c r="Q20" s="43"/>
      <c r="R20" s="42"/>
      <c r="S20" s="42"/>
      <c r="T20" s="42"/>
      <c r="U20" s="42"/>
      <c r="W20" s="101"/>
    </row>
    <row r="21" spans="1:23">
      <c r="A21" s="42">
        <f>'출퇴근 및 급여'!A21</f>
        <v>44975</v>
      </c>
      <c r="B21" s="159"/>
      <c r="C21" s="159"/>
      <c r="D21" s="159"/>
      <c r="E21" s="159"/>
      <c r="F21" s="117" t="str">
        <f t="shared" si="0"/>
        <v>0</v>
      </c>
      <c r="G21" s="117" t="str">
        <f t="shared" si="1"/>
        <v>0</v>
      </c>
      <c r="H21" s="43"/>
      <c r="I21" s="116"/>
      <c r="J21" s="43"/>
      <c r="K21" s="43"/>
      <c r="L21" s="43"/>
      <c r="M21" s="118" t="str">
        <f t="shared" si="2"/>
        <v/>
      </c>
      <c r="N21" s="118"/>
      <c r="O21" s="117"/>
      <c r="P21" s="118">
        <f t="shared" si="4"/>
        <v>399200</v>
      </c>
      <c r="Q21" s="43"/>
      <c r="R21" s="42"/>
      <c r="S21" s="42"/>
      <c r="T21" s="42"/>
      <c r="U21" s="42"/>
      <c r="W21" s="105"/>
    </row>
    <row r="22" spans="1:23">
      <c r="A22" s="42">
        <f>'출퇴근 및 급여'!A22</f>
        <v>44976</v>
      </c>
      <c r="B22" s="159"/>
      <c r="C22" s="159"/>
      <c r="D22" s="159"/>
      <c r="E22" s="159"/>
      <c r="F22" s="117" t="str">
        <f t="shared" si="0"/>
        <v>0</v>
      </c>
      <c r="G22" s="117" t="str">
        <f t="shared" si="1"/>
        <v>0</v>
      </c>
      <c r="H22" s="43"/>
      <c r="I22" s="43"/>
      <c r="J22" s="43"/>
      <c r="K22" s="43"/>
      <c r="L22" s="43"/>
      <c r="M22" s="118" t="str">
        <f t="shared" si="2"/>
        <v/>
      </c>
      <c r="N22" s="118"/>
      <c r="O22" s="117"/>
      <c r="P22" s="118">
        <f t="shared" si="4"/>
        <v>399200</v>
      </c>
      <c r="Q22" s="43"/>
      <c r="R22" s="42"/>
      <c r="S22" s="42"/>
      <c r="T22" s="42"/>
      <c r="U22" s="42"/>
    </row>
    <row r="23" spans="1:23">
      <c r="A23" s="42">
        <f>'출퇴근 및 급여'!A23</f>
        <v>44977</v>
      </c>
      <c r="B23" s="159"/>
      <c r="C23" s="159"/>
      <c r="D23" s="159"/>
      <c r="E23" s="159"/>
      <c r="F23" s="117" t="str">
        <f t="shared" si="0"/>
        <v>0</v>
      </c>
      <c r="G23" s="117" t="str">
        <f t="shared" si="1"/>
        <v>0</v>
      </c>
      <c r="H23" s="43"/>
      <c r="I23" s="43"/>
      <c r="J23" s="43"/>
      <c r="K23" s="43"/>
      <c r="L23" s="43"/>
      <c r="M23" s="118" t="str">
        <f t="shared" si="2"/>
        <v/>
      </c>
      <c r="N23" s="118"/>
      <c r="O23" s="117"/>
      <c r="P23" s="118">
        <f t="shared" si="4"/>
        <v>399200</v>
      </c>
      <c r="Q23" s="43"/>
      <c r="R23" s="42"/>
      <c r="S23" s="42"/>
      <c r="T23" s="42"/>
      <c r="U23" s="42"/>
      <c r="V23" s="105"/>
    </row>
    <row r="24" spans="1:23">
      <c r="A24" s="42">
        <f>'출퇴근 및 급여'!A24</f>
        <v>44978</v>
      </c>
      <c r="B24" s="159"/>
      <c r="C24" s="159"/>
      <c r="D24" s="159"/>
      <c r="E24" s="159"/>
      <c r="F24" s="117" t="str">
        <f t="shared" si="0"/>
        <v>0</v>
      </c>
      <c r="G24" s="117" t="str">
        <f t="shared" si="1"/>
        <v>0</v>
      </c>
      <c r="H24" s="43"/>
      <c r="I24" s="43"/>
      <c r="J24" s="43"/>
      <c r="K24" s="43"/>
      <c r="L24" s="43"/>
      <c r="M24" s="118" t="str">
        <f t="shared" si="2"/>
        <v/>
      </c>
      <c r="N24" s="118"/>
      <c r="O24" s="117"/>
      <c r="P24" s="118">
        <f t="shared" si="4"/>
        <v>399200</v>
      </c>
      <c r="Q24" s="43"/>
      <c r="R24" s="42"/>
      <c r="S24" s="42"/>
      <c r="T24" s="42"/>
      <c r="U24" s="42"/>
    </row>
    <row r="25" spans="1:23">
      <c r="A25" s="42">
        <f>'출퇴근 및 급여'!A25</f>
        <v>44979</v>
      </c>
      <c r="B25" s="159"/>
      <c r="C25" s="159"/>
      <c r="D25" s="159"/>
      <c r="E25" s="159"/>
      <c r="F25" s="117" t="str">
        <f t="shared" si="0"/>
        <v>0</v>
      </c>
      <c r="G25" s="117" t="str">
        <f t="shared" si="1"/>
        <v>0</v>
      </c>
      <c r="H25" s="43"/>
      <c r="I25" s="43"/>
      <c r="J25" s="43"/>
      <c r="K25" s="43"/>
      <c r="L25" s="43"/>
      <c r="M25" s="118" t="str">
        <f t="shared" si="2"/>
        <v/>
      </c>
      <c r="N25" s="118"/>
      <c r="O25" s="117"/>
      <c r="P25" s="118">
        <f t="shared" si="4"/>
        <v>399200</v>
      </c>
      <c r="Q25" s="43"/>
      <c r="R25" s="42"/>
      <c r="S25" s="42"/>
      <c r="T25" s="42"/>
      <c r="U25" s="42"/>
    </row>
    <row r="26" spans="1:23">
      <c r="A26" s="42">
        <f>'출퇴근 및 급여'!A26</f>
        <v>44980</v>
      </c>
      <c r="B26" s="159"/>
      <c r="C26" s="159"/>
      <c r="D26" s="159"/>
      <c r="E26" s="159"/>
      <c r="F26" s="117" t="str">
        <f t="shared" si="0"/>
        <v>0</v>
      </c>
      <c r="G26" s="117" t="str">
        <f t="shared" si="1"/>
        <v>0</v>
      </c>
      <c r="H26" s="43"/>
      <c r="I26" s="43"/>
      <c r="J26" s="43"/>
      <c r="K26" s="43"/>
      <c r="L26" s="43"/>
      <c r="M26" s="118" t="str">
        <f t="shared" si="2"/>
        <v/>
      </c>
      <c r="N26" s="118"/>
      <c r="O26" s="117"/>
      <c r="P26" s="118">
        <f t="shared" si="4"/>
        <v>399200</v>
      </c>
      <c r="Q26" s="43"/>
      <c r="R26" s="42"/>
      <c r="S26" s="42"/>
      <c r="T26" s="42"/>
      <c r="U26" s="42"/>
    </row>
    <row r="27" spans="1:23">
      <c r="A27" s="42">
        <f>'출퇴근 및 급여'!A27</f>
        <v>44981</v>
      </c>
      <c r="B27" s="159"/>
      <c r="C27" s="159"/>
      <c r="D27" s="159"/>
      <c r="E27" s="159"/>
      <c r="F27" s="117" t="str">
        <f t="shared" si="0"/>
        <v>0</v>
      </c>
      <c r="G27" s="117" t="str">
        <f t="shared" si="1"/>
        <v>0</v>
      </c>
      <c r="H27" s="43"/>
      <c r="I27" s="43"/>
      <c r="J27" s="43"/>
      <c r="K27" s="43"/>
      <c r="L27" s="43"/>
      <c r="M27" s="118" t="str">
        <f t="shared" si="2"/>
        <v/>
      </c>
      <c r="N27" s="118"/>
      <c r="O27" s="117"/>
      <c r="P27" s="118">
        <f t="shared" si="4"/>
        <v>399200</v>
      </c>
      <c r="Q27" s="43"/>
      <c r="R27" s="42"/>
      <c r="S27" s="42"/>
      <c r="T27" s="42"/>
      <c r="U27" s="42"/>
      <c r="W27" s="101"/>
    </row>
    <row r="28" spans="1:23">
      <c r="A28" s="42">
        <f>'출퇴근 및 급여'!A28</f>
        <v>44982</v>
      </c>
      <c r="B28" s="159"/>
      <c r="C28" s="159"/>
      <c r="D28" s="159"/>
      <c r="E28" s="159"/>
      <c r="F28" s="117" t="str">
        <f t="shared" si="0"/>
        <v>0</v>
      </c>
      <c r="G28" s="117" t="str">
        <f t="shared" si="1"/>
        <v>0</v>
      </c>
      <c r="H28" s="43"/>
      <c r="I28" s="43"/>
      <c r="J28" s="43"/>
      <c r="K28" s="43"/>
      <c r="L28" s="43"/>
      <c r="M28" s="118" t="str">
        <f t="shared" si="2"/>
        <v/>
      </c>
      <c r="N28" s="118"/>
      <c r="O28" s="117"/>
      <c r="P28" s="118">
        <f t="shared" si="4"/>
        <v>399200</v>
      </c>
      <c r="Q28" s="43"/>
      <c r="R28" s="42"/>
      <c r="S28" s="42"/>
      <c r="T28" s="42"/>
      <c r="U28" s="42"/>
      <c r="W28" s="105"/>
    </row>
    <row r="29" spans="1:23">
      <c r="A29" s="42">
        <f>'출퇴근 및 급여'!A29</f>
        <v>44983</v>
      </c>
      <c r="B29" s="159"/>
      <c r="C29" s="159"/>
      <c r="D29" s="159"/>
      <c r="E29" s="159"/>
      <c r="F29" s="117" t="str">
        <f t="shared" si="0"/>
        <v>0</v>
      </c>
      <c r="G29" s="117" t="str">
        <f t="shared" si="1"/>
        <v>0</v>
      </c>
      <c r="H29" s="43"/>
      <c r="I29" s="43"/>
      <c r="J29" s="43"/>
      <c r="K29" s="43"/>
      <c r="L29" s="43"/>
      <c r="M29" s="118" t="str">
        <f t="shared" si="2"/>
        <v/>
      </c>
      <c r="N29" s="118"/>
      <c r="O29" s="117"/>
      <c r="P29" s="118">
        <f t="shared" si="4"/>
        <v>399200</v>
      </c>
      <c r="Q29" s="43"/>
      <c r="R29" s="42"/>
      <c r="S29" s="42"/>
      <c r="T29" s="42"/>
      <c r="U29" s="42"/>
      <c r="W29" s="105"/>
    </row>
    <row r="30" spans="1:23">
      <c r="A30" s="42">
        <f>'출퇴근 및 급여'!A30</f>
        <v>44984</v>
      </c>
      <c r="B30" s="159"/>
      <c r="C30" s="159"/>
      <c r="D30" s="159"/>
      <c r="E30" s="159"/>
      <c r="F30" s="117" t="str">
        <f t="shared" si="0"/>
        <v>0</v>
      </c>
      <c r="G30" s="117" t="str">
        <f t="shared" si="1"/>
        <v>0</v>
      </c>
      <c r="H30" s="43"/>
      <c r="I30" s="43"/>
      <c r="J30" s="43"/>
      <c r="K30" s="43"/>
      <c r="L30" s="43"/>
      <c r="M30" s="118" t="str">
        <f t="shared" si="2"/>
        <v/>
      </c>
      <c r="N30" s="118"/>
      <c r="O30" s="117"/>
      <c r="P30" s="118">
        <f t="shared" si="4"/>
        <v>399200</v>
      </c>
      <c r="Q30" s="43"/>
      <c r="R30" s="42"/>
      <c r="S30" s="42"/>
      <c r="T30" s="42"/>
      <c r="U30" s="42"/>
      <c r="V30" s="105"/>
    </row>
    <row r="31" spans="1:23">
      <c r="A31" s="42">
        <f>'출퇴근 및 급여'!A31</f>
        <v>44985</v>
      </c>
      <c r="B31" s="159"/>
      <c r="C31" s="159"/>
      <c r="D31" s="159"/>
      <c r="E31" s="159"/>
      <c r="F31" s="117" t="str">
        <f t="shared" si="0"/>
        <v>0</v>
      </c>
      <c r="G31" s="117" t="str">
        <f t="shared" si="1"/>
        <v>0</v>
      </c>
      <c r="H31" s="43"/>
      <c r="I31" s="43"/>
      <c r="J31" s="43"/>
      <c r="K31" s="43"/>
      <c r="L31" s="43"/>
      <c r="M31" s="118" t="str">
        <f t="shared" si="2"/>
        <v/>
      </c>
      <c r="N31" s="118"/>
      <c r="O31" s="117"/>
      <c r="P31" s="118">
        <f t="shared" si="4"/>
        <v>399200</v>
      </c>
      <c r="Q31" s="43"/>
      <c r="R31" s="42"/>
      <c r="S31" s="42"/>
      <c r="T31" s="42"/>
      <c r="U31" s="42"/>
    </row>
    <row r="32" spans="1:23">
      <c r="A32" s="42" t="str">
        <f>'출퇴근 및 급여'!A32</f>
        <v/>
      </c>
      <c r="B32" s="43"/>
      <c r="C32" s="43"/>
      <c r="D32" s="43"/>
      <c r="E32" s="43"/>
      <c r="F32" s="117" t="str">
        <f t="shared" si="0"/>
        <v>0</v>
      </c>
      <c r="G32" s="117" t="str">
        <f t="shared" si="1"/>
        <v>0</v>
      </c>
      <c r="H32" s="43"/>
      <c r="I32" s="43"/>
      <c r="J32" s="43"/>
      <c r="K32" s="43"/>
      <c r="L32" s="43"/>
      <c r="M32" s="118" t="str">
        <f t="shared" si="2"/>
        <v/>
      </c>
      <c r="N32" s="118"/>
      <c r="O32" s="117"/>
      <c r="P32" s="118">
        <f t="shared" si="4"/>
        <v>399200</v>
      </c>
      <c r="Q32" s="43"/>
      <c r="R32" s="42"/>
      <c r="S32" s="42"/>
      <c r="T32" s="42"/>
      <c r="U32" s="42"/>
      <c r="W32" s="105"/>
    </row>
    <row r="33" spans="1:23">
      <c r="A33" s="42" t="str">
        <f>'출퇴근 및 급여'!A33</f>
        <v/>
      </c>
      <c r="B33" s="43"/>
      <c r="C33" s="43"/>
      <c r="D33" s="43"/>
      <c r="E33" s="43"/>
      <c r="F33" s="117" t="str">
        <f t="shared" si="0"/>
        <v>0</v>
      </c>
      <c r="G33" s="117" t="str">
        <f t="shared" si="1"/>
        <v>0</v>
      </c>
      <c r="H33" s="43"/>
      <c r="I33" s="43"/>
      <c r="J33" s="43"/>
      <c r="K33" s="43"/>
      <c r="L33" s="43"/>
      <c r="M33" s="118" t="str">
        <f t="shared" si="2"/>
        <v/>
      </c>
      <c r="N33" s="118"/>
      <c r="O33" s="117"/>
      <c r="P33" s="118">
        <f t="shared" si="4"/>
        <v>399200</v>
      </c>
      <c r="Q33" s="43"/>
      <c r="R33" s="42"/>
      <c r="S33" s="42"/>
      <c r="T33" s="42"/>
      <c r="U33" s="42"/>
      <c r="W33" s="105"/>
    </row>
    <row r="34" spans="1:23">
      <c r="A34" s="42" t="str">
        <f>'출퇴근 및 급여'!A34</f>
        <v/>
      </c>
      <c r="B34" s="43"/>
      <c r="C34" s="43"/>
      <c r="D34" s="43"/>
      <c r="E34" s="43"/>
      <c r="F34" s="117" t="str">
        <f t="shared" si="0"/>
        <v>0</v>
      </c>
      <c r="G34" s="117" t="str">
        <f t="shared" si="1"/>
        <v>0</v>
      </c>
      <c r="H34" s="43"/>
      <c r="I34" s="43"/>
      <c r="J34" s="43"/>
      <c r="K34" s="43"/>
      <c r="L34" s="43"/>
      <c r="M34" s="118" t="str">
        <f t="shared" si="2"/>
        <v/>
      </c>
      <c r="N34" s="118"/>
      <c r="O34" s="117"/>
      <c r="P34" s="118">
        <f t="shared" si="4"/>
        <v>399200</v>
      </c>
      <c r="Q34" s="43"/>
      <c r="R34" s="42"/>
      <c r="S34" s="42"/>
      <c r="T34" s="42"/>
      <c r="U34" s="42"/>
    </row>
    <row r="35" spans="1:23" ht="18.75">
      <c r="A35" s="88" t="s">
        <v>61</v>
      </c>
      <c r="B35" s="89">
        <f>SUM(B4:B34)</f>
        <v>32</v>
      </c>
      <c r="C35" s="89">
        <f>SUM(C4:C34)</f>
        <v>16</v>
      </c>
      <c r="D35" s="89">
        <f>SUM(D4:D34)</f>
        <v>16</v>
      </c>
      <c r="E35" s="89">
        <f>SUM(E4:E34)</f>
        <v>10</v>
      </c>
      <c r="F35" s="121">
        <f>AVERAGE(F4:F34)</f>
        <v>750303.03030303027</v>
      </c>
      <c r="G35" s="121">
        <f>AVERAGE(G4:G34)</f>
        <v>496333.33333333331</v>
      </c>
      <c r="H35" s="39"/>
      <c r="I35" s="143">
        <f t="shared" ref="I35:O35" si="5">SUM(I4:I34)</f>
        <v>21330000</v>
      </c>
      <c r="J35" s="143">
        <f t="shared" si="5"/>
        <v>2520000</v>
      </c>
      <c r="K35" s="143">
        <f t="shared" si="5"/>
        <v>1040000</v>
      </c>
      <c r="L35" s="143">
        <f t="shared" si="5"/>
        <v>400000</v>
      </c>
      <c r="M35" s="119">
        <f>SUM(M4:M34)</f>
        <v>25290000</v>
      </c>
      <c r="N35" s="143">
        <f t="shared" si="5"/>
        <v>975300</v>
      </c>
      <c r="O35" s="143">
        <f t="shared" si="5"/>
        <v>2000000</v>
      </c>
      <c r="P35" s="119"/>
      <c r="Q35" s="143"/>
      <c r="R35" s="90"/>
      <c r="S35" s="90">
        <f t="shared" ref="S35:U35" si="6">SUM(S4:S34)</f>
        <v>1567874</v>
      </c>
      <c r="T35" s="90">
        <f t="shared" si="6"/>
        <v>189490</v>
      </c>
      <c r="U35" s="90">
        <f t="shared" si="6"/>
        <v>0</v>
      </c>
    </row>
    <row r="36" spans="1:23" ht="25.5" customHeight="1">
      <c r="A36" s="91"/>
      <c r="B36" s="92"/>
      <c r="C36" s="93">
        <f>C35/B35</f>
        <v>0.5</v>
      </c>
      <c r="D36" s="93">
        <f>D35/B35</f>
        <v>0.5</v>
      </c>
      <c r="E36" s="93">
        <f>E35/B35</f>
        <v>0.3125</v>
      </c>
      <c r="F36" s="39">
        <v>55</v>
      </c>
      <c r="G36" s="94"/>
      <c r="H36" s="94"/>
      <c r="I36" s="94"/>
      <c r="J36" s="94"/>
      <c r="K36" s="94"/>
      <c r="L36" s="94"/>
      <c r="M36" s="120">
        <f>AVERAGE(M4:M34)</f>
        <v>2107500</v>
      </c>
      <c r="N36" s="120"/>
      <c r="O36" s="120"/>
      <c r="P36" s="120"/>
      <c r="Q36" s="94"/>
      <c r="R36" s="95"/>
      <c r="S36" s="90"/>
      <c r="T36" s="90"/>
      <c r="U36" s="96" t="s">
        <v>22</v>
      </c>
    </row>
    <row r="37" spans="1:23" ht="26.25" customHeight="1">
      <c r="A37" s="97" t="s">
        <v>23</v>
      </c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138">
        <f>S35/M35</f>
        <v>6.1995808620007906E-2</v>
      </c>
      <c r="T37" s="138">
        <f>T35/M35</f>
        <v>7.4926848556741794E-3</v>
      </c>
      <c r="U37" s="99">
        <f>U35/M35</f>
        <v>0</v>
      </c>
    </row>
    <row r="38" spans="1:23" ht="31.5">
      <c r="A38" s="97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9"/>
      <c r="T38" s="138"/>
      <c r="U38" s="99"/>
    </row>
    <row r="40" spans="1:23">
      <c r="H40" s="38">
        <v>59178000</v>
      </c>
    </row>
  </sheetData>
  <phoneticPr fontId="1" type="noConversion"/>
  <conditionalFormatting sqref="M4:P4 Q4:U34 M5:O34 A4:L34">
    <cfRule type="expression" dxfId="5" priority="7">
      <formula>WEEKDAY($A4,1)=$C$1</formula>
    </cfRule>
    <cfRule type="expression" dxfId="4" priority="8">
      <formula>WEEKDAY($A4,1)=$B$1</formula>
    </cfRule>
  </conditionalFormatting>
  <conditionalFormatting sqref="P5:Q34">
    <cfRule type="expression" dxfId="3" priority="1">
      <formula>WEEKDAY($A5,1)=$C$1</formula>
    </cfRule>
    <cfRule type="expression" dxfId="2" priority="2">
      <formula>WEEKDAY($A5,1)=$B$1</formula>
    </cfRule>
  </conditionalFormatting>
  <pageMargins left="0.7" right="0.7" top="0.75" bottom="0.75" header="0.3" footer="0.3"/>
  <pageSetup paperSize="9" scale="37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>
      <selection activeCell="A12" sqref="A12"/>
    </sheetView>
  </sheetViews>
  <sheetFormatPr defaultRowHeight="16.5"/>
  <sheetData>
    <row r="1" spans="1:2">
      <c r="A1">
        <v>1</v>
      </c>
      <c r="B1">
        <v>31</v>
      </c>
    </row>
    <row r="2" spans="1:2">
      <c r="A2">
        <v>2</v>
      </c>
      <c r="B2">
        <v>28</v>
      </c>
    </row>
    <row r="3" spans="1:2">
      <c r="A3">
        <v>3</v>
      </c>
      <c r="B3">
        <v>31</v>
      </c>
    </row>
    <row r="4" spans="1:2">
      <c r="A4">
        <v>4</v>
      </c>
      <c r="B4">
        <v>30</v>
      </c>
    </row>
    <row r="5" spans="1:2">
      <c r="A5">
        <v>5</v>
      </c>
      <c r="B5">
        <v>31</v>
      </c>
    </row>
    <row r="6" spans="1:2">
      <c r="A6">
        <v>6</v>
      </c>
      <c r="B6">
        <v>30</v>
      </c>
    </row>
    <row r="7" spans="1:2">
      <c r="A7">
        <v>7</v>
      </c>
      <c r="B7">
        <v>31</v>
      </c>
    </row>
    <row r="8" spans="1:2">
      <c r="A8">
        <v>8</v>
      </c>
      <c r="B8">
        <v>31</v>
      </c>
    </row>
    <row r="9" spans="1:2">
      <c r="A9">
        <v>9</v>
      </c>
      <c r="B9">
        <v>30</v>
      </c>
    </row>
    <row r="10" spans="1:2">
      <c r="A10">
        <v>10</v>
      </c>
      <c r="B10">
        <v>31</v>
      </c>
    </row>
    <row r="11" spans="1:2">
      <c r="A11">
        <v>11</v>
      </c>
      <c r="B11">
        <v>30</v>
      </c>
    </row>
    <row r="12" spans="1:2">
      <c r="A12">
        <v>12</v>
      </c>
      <c r="B1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보고서</vt:lpstr>
      <vt:lpstr>summary</vt:lpstr>
      <vt:lpstr>출퇴근 및 급여</vt:lpstr>
      <vt:lpstr>직원인센</vt:lpstr>
      <vt:lpstr>파트인센</vt:lpstr>
      <vt:lpstr>주류장부</vt:lpstr>
      <vt:lpstr>달력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rladu</dc:creator>
  <cp:lastModifiedBy>rladu</cp:lastModifiedBy>
  <dcterms:created xsi:type="dcterms:W3CDTF">2023-01-05T11:17:08Z</dcterms:created>
  <dcterms:modified xsi:type="dcterms:W3CDTF">2023-02-20T09:54:44Z</dcterms:modified>
</cp:coreProperties>
</file>